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p1901-10883\f\035　きた住まいる\02 民間住宅施策推進会議\★2020新設に向けた各種検討\技術解説書改訂\資料編\"/>
    </mc:Choice>
  </mc:AlternateContent>
  <bookViews>
    <workbookView xWindow="0" yWindow="0" windowWidth="28800" windowHeight="12336" firstSheet="2" activeTab="12"/>
  </bookViews>
  <sheets>
    <sheet name="はじめに（お読みください）" sheetId="111" r:id="rId1"/>
    <sheet name="共通条件・結果" sheetId="97" r:id="rId2"/>
    <sheet name="Ａ（北）" sheetId="92" r:id="rId3"/>
    <sheet name="Ａ（北東）" sheetId="102" r:id="rId4"/>
    <sheet name="Ａ（東）" sheetId="103" r:id="rId5"/>
    <sheet name="Ａ（南東）" sheetId="104" r:id="rId6"/>
    <sheet name="Ａ（南）" sheetId="105" r:id="rId7"/>
    <sheet name="Ａ（南西）" sheetId="106" r:id="rId8"/>
    <sheet name="Ａ（西）" sheetId="107" r:id="rId9"/>
    <sheet name="Ａ（北西）" sheetId="108" r:id="rId10"/>
    <sheet name="Ｂ（屋根・床等）" sheetId="110" r:id="rId11"/>
    <sheet name="Ｃ（基礎）" sheetId="109" r:id="rId12"/>
    <sheet name="更新履歴" sheetId="101" r:id="rId13"/>
  </sheets>
  <definedNames>
    <definedName name="_xlnm.Print_Area" localSheetId="8">'Ａ（西）'!$B$2:$AA$44</definedName>
    <definedName name="_xlnm.Print_Area" localSheetId="4">'Ａ（東）'!$B$2:$AA$44</definedName>
    <definedName name="_xlnm.Print_Area" localSheetId="6">'Ａ（南）'!$B$2:$AA$44</definedName>
    <definedName name="_xlnm.Print_Area" localSheetId="7">'Ａ（南西）'!$B$2:$AA$44</definedName>
    <definedName name="_xlnm.Print_Area" localSheetId="5">'Ａ（南東）'!$B$2:$AA$44</definedName>
    <definedName name="_xlnm.Print_Area" localSheetId="2">'Ａ（北）'!$B$2:$AA$44</definedName>
    <definedName name="_xlnm.Print_Area" localSheetId="9">'Ａ（北西）'!$B$2:$AA$44</definedName>
    <definedName name="_xlnm.Print_Area" localSheetId="3">'Ａ（北東）'!$B$2:$AA$44</definedName>
    <definedName name="_xlnm.Print_Area" localSheetId="10">'Ｂ（屋根・床等）'!$B$2:$AA$33</definedName>
    <definedName name="_xlnm.Print_Area" localSheetId="11">'Ｃ（基礎）'!$B$2:$AC$44</definedName>
    <definedName name="_xlnm.Print_Area" localSheetId="0">'はじめに（お読みください）'!$A$1:$B$8</definedName>
    <definedName name="_xlnm.Print_Area" localSheetId="1">共通条件・結果!$B$2:$AC$28</definedName>
    <definedName name="_xlnm.Print_Area" localSheetId="12">更新履歴!$B$2:$I$42</definedName>
  </definedNames>
  <calcPr calcId="162913"/>
</workbook>
</file>

<file path=xl/calcChain.xml><?xml version="1.0" encoding="utf-8"?>
<calcChain xmlns="http://schemas.openxmlformats.org/spreadsheetml/2006/main">
  <c r="L34" i="107" l="1"/>
  <c r="P34" i="107" s="1"/>
  <c r="L34" i="103"/>
  <c r="P34" i="103" s="1"/>
  <c r="L34" i="105"/>
  <c r="P34" i="105" s="1"/>
  <c r="L34" i="92"/>
  <c r="L33" i="92"/>
  <c r="H19" i="109"/>
  <c r="L33" i="107"/>
  <c r="L33" i="105"/>
  <c r="L33" i="103"/>
  <c r="P33" i="103"/>
  <c r="P33" i="92"/>
  <c r="H7" i="109"/>
  <c r="H30" i="109"/>
  <c r="J18" i="110"/>
  <c r="R18" i="110" s="1"/>
  <c r="F17" i="110"/>
  <c r="J17" i="110"/>
  <c r="N33" i="105"/>
  <c r="N33" i="107"/>
  <c r="N33" i="92"/>
  <c r="Q41" i="107"/>
  <c r="P35" i="105"/>
  <c r="P36" i="105"/>
  <c r="P37" i="105"/>
  <c r="U41" i="108"/>
  <c r="Q41" i="108"/>
  <c r="U41" i="107"/>
  <c r="U41" i="106"/>
  <c r="Q41" i="106"/>
  <c r="U41" i="105"/>
  <c r="Q41" i="105"/>
  <c r="U41" i="104"/>
  <c r="Q41" i="104"/>
  <c r="U41" i="103"/>
  <c r="Q41" i="103"/>
  <c r="U41" i="102"/>
  <c r="Q41" i="102"/>
  <c r="U41" i="92"/>
  <c r="Q41" i="92"/>
  <c r="AF35" i="108"/>
  <c r="AE35" i="108"/>
  <c r="AF34" i="108"/>
  <c r="AE34" i="108"/>
  <c r="P34" i="108"/>
  <c r="Z34" i="108"/>
  <c r="P35" i="108"/>
  <c r="Z35" i="108"/>
  <c r="AO26" i="108"/>
  <c r="AN26" i="108"/>
  <c r="Z26" i="108"/>
  <c r="AO13" i="108"/>
  <c r="AN13" i="108" s="1"/>
  <c r="Z13" i="108"/>
  <c r="AL13" i="108"/>
  <c r="AI13" i="108"/>
  <c r="AK13" i="108"/>
  <c r="AH13" i="108" s="1"/>
  <c r="AO12" i="108"/>
  <c r="AN12" i="108"/>
  <c r="Z12" i="108"/>
  <c r="AL12" i="108"/>
  <c r="AI12" i="108" s="1"/>
  <c r="AK12" i="108"/>
  <c r="AH12" i="108" s="1"/>
  <c r="AF35" i="107"/>
  <c r="AE35" i="107"/>
  <c r="AF34" i="107"/>
  <c r="AE34" i="107"/>
  <c r="P35" i="107"/>
  <c r="Z35" i="107"/>
  <c r="Z34" i="107"/>
  <c r="AO26" i="107"/>
  <c r="AN26" i="107"/>
  <c r="Z26" i="107"/>
  <c r="AO13" i="107"/>
  <c r="AN13" i="107"/>
  <c r="Z13" i="107"/>
  <c r="AL13" i="107"/>
  <c r="AI13" i="107" s="1"/>
  <c r="AK13" i="107"/>
  <c r="AH13" i="107" s="1"/>
  <c r="AO12" i="107"/>
  <c r="AN12" i="107"/>
  <c r="Z12" i="107"/>
  <c r="AL12" i="107"/>
  <c r="AI12" i="107" s="1"/>
  <c r="AE12" i="107" s="1"/>
  <c r="AK12" i="107"/>
  <c r="AH12" i="107"/>
  <c r="AF35" i="106"/>
  <c r="AE35" i="106"/>
  <c r="AF34" i="106"/>
  <c r="AE34" i="106"/>
  <c r="P35" i="106"/>
  <c r="Z35" i="106"/>
  <c r="P34" i="106"/>
  <c r="Z34" i="106"/>
  <c r="AO26" i="106"/>
  <c r="AN26" i="106"/>
  <c r="Z26" i="106"/>
  <c r="AO13" i="106"/>
  <c r="AN13" i="106"/>
  <c r="Z13" i="106"/>
  <c r="AL13" i="106"/>
  <c r="AI13" i="106"/>
  <c r="AK13" i="106"/>
  <c r="AH13" i="106" s="1"/>
  <c r="AO12" i="106"/>
  <c r="AN12" i="106"/>
  <c r="Z12" i="106"/>
  <c r="AL12" i="106"/>
  <c r="AI12" i="106" s="1"/>
  <c r="AK12" i="106"/>
  <c r="AH12" i="106" s="1"/>
  <c r="AF35" i="105"/>
  <c r="AE35" i="105"/>
  <c r="AF34" i="105"/>
  <c r="AE34" i="105"/>
  <c r="Z35" i="105"/>
  <c r="Z34" i="105"/>
  <c r="AO26" i="105"/>
  <c r="AN26" i="105"/>
  <c r="Z26" i="105"/>
  <c r="AO13" i="105"/>
  <c r="AN13" i="105"/>
  <c r="Z13" i="105" s="1"/>
  <c r="AL13" i="105"/>
  <c r="AI13" i="105"/>
  <c r="AK13" i="105"/>
  <c r="AH13" i="105" s="1"/>
  <c r="AO12" i="105"/>
  <c r="AN12" i="105"/>
  <c r="Z12" i="105" s="1"/>
  <c r="AL12" i="105"/>
  <c r="AI12" i="105"/>
  <c r="AK12" i="105"/>
  <c r="AH12" i="105" s="1"/>
  <c r="P35" i="103"/>
  <c r="X35" i="103" s="1"/>
  <c r="AF35" i="104"/>
  <c r="AE35" i="104"/>
  <c r="AF34" i="104"/>
  <c r="AE34" i="104"/>
  <c r="P35" i="104"/>
  <c r="Z35" i="104"/>
  <c r="P34" i="104"/>
  <c r="Z34" i="104"/>
  <c r="AO26" i="104"/>
  <c r="AN26" i="104" s="1"/>
  <c r="Z26" i="104"/>
  <c r="AO13" i="104"/>
  <c r="AN13" i="104" s="1"/>
  <c r="Z13" i="104"/>
  <c r="AL13" i="104"/>
  <c r="AI13" i="104" s="1"/>
  <c r="AK13" i="104"/>
  <c r="AH13" i="104" s="1"/>
  <c r="AO12" i="104"/>
  <c r="AN12" i="104"/>
  <c r="Z12" i="104"/>
  <c r="AL12" i="104"/>
  <c r="AI12" i="104"/>
  <c r="AK12" i="104"/>
  <c r="AH12" i="104" s="1"/>
  <c r="AF35" i="103"/>
  <c r="AE35" i="103"/>
  <c r="AF34" i="103"/>
  <c r="AE34" i="103"/>
  <c r="Z35" i="103"/>
  <c r="V35" i="103"/>
  <c r="Z34" i="103"/>
  <c r="AO26" i="103"/>
  <c r="AN26" i="103"/>
  <c r="Z26" i="103"/>
  <c r="AO13" i="103"/>
  <c r="AN13" i="103"/>
  <c r="Z13" i="103"/>
  <c r="AL13" i="103"/>
  <c r="AI13" i="103"/>
  <c r="AK13" i="103"/>
  <c r="AH13" i="103" s="1"/>
  <c r="AO12" i="103"/>
  <c r="AN12" i="103" s="1"/>
  <c r="Z12" i="103"/>
  <c r="AL12" i="103"/>
  <c r="AI12" i="103"/>
  <c r="AK12" i="103"/>
  <c r="AH12" i="103"/>
  <c r="AF35" i="102"/>
  <c r="AE35" i="102"/>
  <c r="AF34" i="102"/>
  <c r="AE34" i="102"/>
  <c r="P35" i="102"/>
  <c r="V35" i="102" s="1"/>
  <c r="Z35" i="102"/>
  <c r="P34" i="102"/>
  <c r="Z34" i="102"/>
  <c r="V34" i="102"/>
  <c r="AO26" i="102"/>
  <c r="AN26" i="102"/>
  <c r="Z26" i="102"/>
  <c r="AO13" i="102"/>
  <c r="AN13" i="102" s="1"/>
  <c r="Z13" i="102"/>
  <c r="AL13" i="102"/>
  <c r="AI13" i="102" s="1"/>
  <c r="AK13" i="102"/>
  <c r="AH13" i="102"/>
  <c r="AO12" i="102"/>
  <c r="AN12" i="102"/>
  <c r="Z12" i="102"/>
  <c r="AL12" i="102"/>
  <c r="AI12" i="102"/>
  <c r="AK12" i="102"/>
  <c r="AH12" i="102" s="1"/>
  <c r="AF35" i="92"/>
  <c r="AE35" i="92"/>
  <c r="P35" i="92"/>
  <c r="V35" i="92" s="1"/>
  <c r="Z35" i="92"/>
  <c r="AF34" i="92"/>
  <c r="AE34" i="92"/>
  <c r="P34" i="92"/>
  <c r="X34" i="92" s="1"/>
  <c r="V35" i="107"/>
  <c r="AO13" i="92"/>
  <c r="AN13" i="92"/>
  <c r="Z13" i="92" s="1"/>
  <c r="AL13" i="92"/>
  <c r="AI13" i="92"/>
  <c r="AK13" i="92"/>
  <c r="AH13" i="92"/>
  <c r="AO26" i="92"/>
  <c r="AN26" i="92"/>
  <c r="Z26" i="92"/>
  <c r="AO27" i="92"/>
  <c r="AN27" i="92" s="1"/>
  <c r="AO12" i="92"/>
  <c r="AN12" i="92"/>
  <c r="Z12" i="92" s="1"/>
  <c r="AL12" i="92"/>
  <c r="AI12" i="92"/>
  <c r="AK12" i="92"/>
  <c r="AH12" i="92"/>
  <c r="X4" i="108"/>
  <c r="AE19" i="108" s="1"/>
  <c r="P33" i="108"/>
  <c r="V33" i="108" s="1"/>
  <c r="X4" i="107"/>
  <c r="AE17" i="107" s="1"/>
  <c r="X4" i="106"/>
  <c r="AL8" i="106"/>
  <c r="AI8" i="106"/>
  <c r="X4" i="105"/>
  <c r="AE13" i="105" s="1"/>
  <c r="X13" i="105" s="1"/>
  <c r="X36" i="105"/>
  <c r="AL8" i="105"/>
  <c r="AI8" i="105"/>
  <c r="X4" i="104"/>
  <c r="X27" i="104"/>
  <c r="AL8" i="104"/>
  <c r="AI8" i="104"/>
  <c r="X4" i="103"/>
  <c r="AL11" i="103"/>
  <c r="AI11" i="103"/>
  <c r="X11" i="103"/>
  <c r="AL9" i="102"/>
  <c r="AI9" i="102"/>
  <c r="X4" i="102"/>
  <c r="AL19" i="102"/>
  <c r="AI19" i="102" s="1"/>
  <c r="X19" i="102"/>
  <c r="AL8" i="102"/>
  <c r="AI8" i="102"/>
  <c r="AL9" i="92"/>
  <c r="AI9" i="92"/>
  <c r="X4" i="92"/>
  <c r="AE12" i="92" s="1"/>
  <c r="X12" i="92" s="1"/>
  <c r="X27" i="92"/>
  <c r="Z23" i="109"/>
  <c r="Z22" i="109"/>
  <c r="Z21" i="109"/>
  <c r="Z20" i="109"/>
  <c r="Z19" i="109"/>
  <c r="AH19" i="109"/>
  <c r="AG19" i="109" s="1"/>
  <c r="AB19" i="109" s="1"/>
  <c r="AE23" i="109"/>
  <c r="AH23" i="109"/>
  <c r="AG23" i="109" s="1"/>
  <c r="AE21" i="109"/>
  <c r="AG21" i="109"/>
  <c r="AH21" i="109"/>
  <c r="AH20" i="109"/>
  <c r="AE20" i="109"/>
  <c r="AG20" i="109" s="1"/>
  <c r="D34" i="109"/>
  <c r="B34" i="109"/>
  <c r="D33" i="109"/>
  <c r="B33" i="109"/>
  <c r="D32" i="109"/>
  <c r="B32" i="109"/>
  <c r="D31" i="109"/>
  <c r="B31" i="109"/>
  <c r="D30" i="109"/>
  <c r="B30" i="109"/>
  <c r="AK23" i="109"/>
  <c r="AI23" i="109" s="1"/>
  <c r="AJ23" i="109"/>
  <c r="D23" i="109"/>
  <c r="B23" i="109"/>
  <c r="AK22" i="109"/>
  <c r="AJ22" i="109"/>
  <c r="AH22" i="109"/>
  <c r="AG22" i="109" s="1"/>
  <c r="AE22" i="109"/>
  <c r="D22" i="109"/>
  <c r="B22" i="109"/>
  <c r="AK21" i="109"/>
  <c r="AI21" i="109" s="1"/>
  <c r="AJ21" i="109"/>
  <c r="D21" i="109"/>
  <c r="B21" i="109"/>
  <c r="AK20" i="109"/>
  <c r="AI20" i="109" s="1"/>
  <c r="AJ20" i="109"/>
  <c r="D20" i="109"/>
  <c r="B20" i="109"/>
  <c r="AK19" i="109"/>
  <c r="AI19" i="109"/>
  <c r="AJ19" i="109"/>
  <c r="AE19" i="109"/>
  <c r="D19" i="109"/>
  <c r="B19" i="109"/>
  <c r="H12" i="109"/>
  <c r="T30" i="110"/>
  <c r="AD24" i="110"/>
  <c r="P24" i="110"/>
  <c r="N24" i="110"/>
  <c r="J24" i="110"/>
  <c r="R24" i="110"/>
  <c r="AD23" i="110"/>
  <c r="P23" i="110"/>
  <c r="N23" i="110"/>
  <c r="J23" i="110"/>
  <c r="R23" i="110"/>
  <c r="AD22" i="110"/>
  <c r="P22" i="110"/>
  <c r="J22" i="110"/>
  <c r="R22" i="110"/>
  <c r="AD21" i="110"/>
  <c r="J21" i="110"/>
  <c r="R21" i="110"/>
  <c r="P21" i="110"/>
  <c r="N21" i="110"/>
  <c r="AD20" i="110"/>
  <c r="P20" i="110"/>
  <c r="N20" i="110"/>
  <c r="J20" i="110"/>
  <c r="R20" i="110"/>
  <c r="AD19" i="110"/>
  <c r="P19" i="110"/>
  <c r="J19" i="110"/>
  <c r="R19" i="110"/>
  <c r="AD18" i="110"/>
  <c r="P18" i="110"/>
  <c r="N18" i="110"/>
  <c r="AD17" i="110"/>
  <c r="AH11" i="110"/>
  <c r="P11" i="110"/>
  <c r="AG11" i="110"/>
  <c r="N11" i="110"/>
  <c r="AE11" i="110"/>
  <c r="AD11" i="110" s="1"/>
  <c r="R11" i="110"/>
  <c r="AH10" i="110"/>
  <c r="P10" i="110"/>
  <c r="AG10" i="110"/>
  <c r="N10" i="110"/>
  <c r="AE10" i="110"/>
  <c r="AD10" i="110"/>
  <c r="R10" i="110"/>
  <c r="AH9" i="110"/>
  <c r="P9" i="110"/>
  <c r="AG9" i="110"/>
  <c r="N9" i="110"/>
  <c r="AE9" i="110"/>
  <c r="AD9" i="110" s="1"/>
  <c r="R9" i="110"/>
  <c r="AH8" i="110"/>
  <c r="P8" i="110"/>
  <c r="AG8" i="110"/>
  <c r="N8" i="110"/>
  <c r="AE8" i="110"/>
  <c r="AD8" i="110" s="1"/>
  <c r="R8" i="110"/>
  <c r="AH7" i="110"/>
  <c r="P7" i="110"/>
  <c r="AG7" i="110"/>
  <c r="N7" i="110"/>
  <c r="AE7" i="110"/>
  <c r="AD7" i="110"/>
  <c r="R7" i="110"/>
  <c r="AF37" i="108"/>
  <c r="AE37" i="108"/>
  <c r="P37" i="108"/>
  <c r="V37" i="108" s="1"/>
  <c r="Z37" i="108"/>
  <c r="Z38" i="108" s="1"/>
  <c r="AF36" i="108"/>
  <c r="AE36" i="108"/>
  <c r="P36" i="108"/>
  <c r="V36" i="108" s="1"/>
  <c r="Z36" i="108"/>
  <c r="AF33" i="108"/>
  <c r="AE33" i="108"/>
  <c r="Z33" i="108"/>
  <c r="V4" i="108"/>
  <c r="AK9" i="108"/>
  <c r="AH9" i="108" s="1"/>
  <c r="V9" i="108"/>
  <c r="AO27" i="108"/>
  <c r="AN27" i="108" s="1"/>
  <c r="Z27" i="108"/>
  <c r="AO25" i="108"/>
  <c r="AN25" i="108"/>
  <c r="Z25" i="108"/>
  <c r="AO19" i="108"/>
  <c r="AN19" i="108"/>
  <c r="Z19" i="108"/>
  <c r="AL19" i="108"/>
  <c r="AI19" i="108"/>
  <c r="AK19" i="108"/>
  <c r="AH19" i="108"/>
  <c r="AO18" i="108"/>
  <c r="AN18" i="108" s="1"/>
  <c r="Z18" i="108"/>
  <c r="AL18" i="108"/>
  <c r="AI18" i="108" s="1"/>
  <c r="AK18" i="108"/>
  <c r="AH18" i="108" s="1"/>
  <c r="AO17" i="108"/>
  <c r="AN17" i="108" s="1"/>
  <c r="Z17" i="108"/>
  <c r="AL17" i="108"/>
  <c r="AI17" i="108" s="1"/>
  <c r="AK17" i="108"/>
  <c r="AH17" i="108"/>
  <c r="AO16" i="108"/>
  <c r="AN16" i="108"/>
  <c r="Z16" i="108"/>
  <c r="AL16" i="108"/>
  <c r="AI16" i="108"/>
  <c r="AK16" i="108"/>
  <c r="AH16" i="108" s="1"/>
  <c r="AO15" i="108"/>
  <c r="AN15" i="108" s="1"/>
  <c r="Z15" i="108"/>
  <c r="AL15" i="108"/>
  <c r="AI15" i="108"/>
  <c r="AK15" i="108"/>
  <c r="AH15" i="108" s="1"/>
  <c r="AO14" i="108"/>
  <c r="AN14" i="108"/>
  <c r="Z14" i="108"/>
  <c r="AL14" i="108"/>
  <c r="AI14" i="108"/>
  <c r="AK14" i="108"/>
  <c r="AH14" i="108"/>
  <c r="AO11" i="108"/>
  <c r="AN11" i="108" s="1"/>
  <c r="Z11" i="108"/>
  <c r="AL11" i="108"/>
  <c r="AI11" i="108"/>
  <c r="AK11" i="108"/>
  <c r="AH11" i="108"/>
  <c r="AO10" i="108"/>
  <c r="AN10" i="108" s="1"/>
  <c r="Z10" i="108"/>
  <c r="AL10" i="108"/>
  <c r="AI10" i="108"/>
  <c r="AK10" i="108"/>
  <c r="AH10" i="108"/>
  <c r="AO9" i="108"/>
  <c r="AN9" i="108"/>
  <c r="Z9" i="108"/>
  <c r="AL9" i="108"/>
  <c r="AI9" i="108"/>
  <c r="AO8" i="108"/>
  <c r="AN8" i="108"/>
  <c r="Z8" i="108"/>
  <c r="AL8" i="108"/>
  <c r="AI8" i="108" s="1"/>
  <c r="AK8" i="108"/>
  <c r="AH8" i="108" s="1"/>
  <c r="AF37" i="107"/>
  <c r="AE37" i="107"/>
  <c r="P37" i="107"/>
  <c r="V37" i="107" s="1"/>
  <c r="Z37" i="107"/>
  <c r="AF36" i="107"/>
  <c r="AE36" i="107"/>
  <c r="P36" i="107"/>
  <c r="Z36" i="107"/>
  <c r="AF33" i="107"/>
  <c r="AE33" i="107"/>
  <c r="V4" i="107"/>
  <c r="AD12" i="107" s="1"/>
  <c r="AO27" i="107"/>
  <c r="AN27" i="107" s="1"/>
  <c r="Z27" i="107"/>
  <c r="AO25" i="107"/>
  <c r="AN25" i="107"/>
  <c r="Z25" i="107"/>
  <c r="AO19" i="107"/>
  <c r="AN19" i="107" s="1"/>
  <c r="Z19" i="107"/>
  <c r="AL19" i="107"/>
  <c r="AI19" i="107" s="1"/>
  <c r="AE19" i="107" s="1"/>
  <c r="AK19" i="107"/>
  <c r="AH19" i="107"/>
  <c r="AO18" i="107"/>
  <c r="AN18" i="107" s="1"/>
  <c r="Z18" i="107"/>
  <c r="AL18" i="107"/>
  <c r="AI18" i="107" s="1"/>
  <c r="AE18" i="107" s="1"/>
  <c r="AK18" i="107"/>
  <c r="AH18" i="107"/>
  <c r="AO17" i="107"/>
  <c r="AN17" i="107"/>
  <c r="Z17" i="107"/>
  <c r="AL17" i="107"/>
  <c r="AI17" i="107"/>
  <c r="AK17" i="107"/>
  <c r="AH17" i="107" s="1"/>
  <c r="AO16" i="107"/>
  <c r="AN16" i="107"/>
  <c r="Z16" i="107"/>
  <c r="AL16" i="107"/>
  <c r="AI16" i="107" s="1"/>
  <c r="AK16" i="107"/>
  <c r="AH16" i="107"/>
  <c r="AO15" i="107"/>
  <c r="AN15" i="107"/>
  <c r="Z15" i="107"/>
  <c r="AL15" i="107"/>
  <c r="AI15" i="107"/>
  <c r="AK15" i="107"/>
  <c r="AH15" i="107"/>
  <c r="AO14" i="107"/>
  <c r="AN14" i="107"/>
  <c r="Z14" i="107"/>
  <c r="AL14" i="107"/>
  <c r="AI14" i="107"/>
  <c r="AK14" i="107"/>
  <c r="AH14" i="107" s="1"/>
  <c r="AO11" i="107"/>
  <c r="AN11" i="107"/>
  <c r="Z11" i="107"/>
  <c r="AL11" i="107"/>
  <c r="AI11" i="107" s="1"/>
  <c r="AE11" i="107" s="1"/>
  <c r="AK11" i="107"/>
  <c r="AH11" i="107" s="1"/>
  <c r="AO10" i="107"/>
  <c r="AN10" i="107" s="1"/>
  <c r="Z10" i="107"/>
  <c r="AL10" i="107"/>
  <c r="AI10" i="107" s="1"/>
  <c r="AE10" i="107" s="1"/>
  <c r="AK10" i="107"/>
  <c r="AH10" i="107" s="1"/>
  <c r="AO9" i="107"/>
  <c r="AN9" i="107"/>
  <c r="Z9" i="107"/>
  <c r="AL9" i="107"/>
  <c r="AI9" i="107"/>
  <c r="AK9" i="107"/>
  <c r="AH9" i="107"/>
  <c r="AO8" i="107"/>
  <c r="AN8" i="107" s="1"/>
  <c r="Z8" i="107" s="1"/>
  <c r="AL8" i="107"/>
  <c r="AI8" i="107"/>
  <c r="AE8" i="107" s="1"/>
  <c r="X8" i="107" s="1"/>
  <c r="AK8" i="107"/>
  <c r="AH8" i="107"/>
  <c r="P33" i="106"/>
  <c r="X33" i="106" s="1"/>
  <c r="AF37" i="106"/>
  <c r="AE37" i="106"/>
  <c r="P37" i="106"/>
  <c r="Z37" i="106"/>
  <c r="AF36" i="106"/>
  <c r="AE36" i="106"/>
  <c r="P36" i="106"/>
  <c r="Z36" i="106"/>
  <c r="AF33" i="106"/>
  <c r="AE33" i="106"/>
  <c r="Z33" i="106"/>
  <c r="Z38" i="106" s="1"/>
  <c r="V4" i="106"/>
  <c r="V27" i="106"/>
  <c r="AO27" i="106"/>
  <c r="AN27" i="106" s="1"/>
  <c r="Z27" i="106"/>
  <c r="AO25" i="106"/>
  <c r="AN25" i="106" s="1"/>
  <c r="Z25" i="106"/>
  <c r="AO19" i="106"/>
  <c r="AN19" i="106"/>
  <c r="Z19" i="106"/>
  <c r="AL19" i="106"/>
  <c r="AI19" i="106"/>
  <c r="AK19" i="106"/>
  <c r="AH19" i="106" s="1"/>
  <c r="AO18" i="106"/>
  <c r="AN18" i="106"/>
  <c r="Z18" i="106"/>
  <c r="AL18" i="106"/>
  <c r="AI18" i="106"/>
  <c r="AK18" i="106"/>
  <c r="AH18" i="106" s="1"/>
  <c r="AO17" i="106"/>
  <c r="AN17" i="106" s="1"/>
  <c r="Z17" i="106"/>
  <c r="AL17" i="106"/>
  <c r="AI17" i="106"/>
  <c r="AK17" i="106"/>
  <c r="AH17" i="106" s="1"/>
  <c r="AO16" i="106"/>
  <c r="AN16" i="106" s="1"/>
  <c r="Z16" i="106"/>
  <c r="AL16" i="106"/>
  <c r="AI16" i="106" s="1"/>
  <c r="AK16" i="106"/>
  <c r="AH16" i="106" s="1"/>
  <c r="AO15" i="106"/>
  <c r="AN15" i="106"/>
  <c r="AL15" i="106"/>
  <c r="AI15" i="106" s="1"/>
  <c r="AK15" i="106"/>
  <c r="AH15" i="106" s="1"/>
  <c r="Z15" i="106"/>
  <c r="AO14" i="106"/>
  <c r="AN14" i="106"/>
  <c r="Z14" i="106"/>
  <c r="AL14" i="106"/>
  <c r="AI14" i="106"/>
  <c r="AK14" i="106"/>
  <c r="AH14" i="106" s="1"/>
  <c r="AO11" i="106"/>
  <c r="AN11" i="106"/>
  <c r="Z11" i="106"/>
  <c r="AL11" i="106"/>
  <c r="AI11" i="106" s="1"/>
  <c r="AK11" i="106"/>
  <c r="AH11" i="106" s="1"/>
  <c r="AO10" i="106"/>
  <c r="AN10" i="106" s="1"/>
  <c r="Z10" i="106"/>
  <c r="AL10" i="106"/>
  <c r="AI10" i="106" s="1"/>
  <c r="AK10" i="106"/>
  <c r="AH10" i="106" s="1"/>
  <c r="AO9" i="106"/>
  <c r="AN9" i="106"/>
  <c r="Z9" i="106"/>
  <c r="AL9" i="106"/>
  <c r="AI9" i="106"/>
  <c r="AK9" i="106"/>
  <c r="AH9" i="106" s="1"/>
  <c r="AO8" i="106"/>
  <c r="AN8" i="106"/>
  <c r="AK8" i="106"/>
  <c r="AH8" i="106" s="1"/>
  <c r="Z8" i="106"/>
  <c r="AF37" i="105"/>
  <c r="AE37" i="105"/>
  <c r="Z37" i="105"/>
  <c r="AF36" i="105"/>
  <c r="AE36" i="105"/>
  <c r="Z36" i="105"/>
  <c r="AF33" i="105"/>
  <c r="AE33" i="105"/>
  <c r="V4" i="105"/>
  <c r="V27" i="105"/>
  <c r="AO27" i="105"/>
  <c r="AN27" i="105" s="1"/>
  <c r="Z27" i="105"/>
  <c r="AO25" i="105"/>
  <c r="AN25" i="105"/>
  <c r="Z25" i="105"/>
  <c r="AO19" i="105"/>
  <c r="AN19" i="105"/>
  <c r="Z19" i="105"/>
  <c r="AL19" i="105"/>
  <c r="AI19" i="105"/>
  <c r="AK19" i="105"/>
  <c r="AH19" i="105" s="1"/>
  <c r="AO18" i="105"/>
  <c r="AN18" i="105"/>
  <c r="Z18" i="105"/>
  <c r="AL18" i="105"/>
  <c r="AI18" i="105"/>
  <c r="AE18" i="105" s="1"/>
  <c r="AK18" i="105"/>
  <c r="AH18" i="105" s="1"/>
  <c r="AO17" i="105"/>
  <c r="AN17" i="105" s="1"/>
  <c r="Z17" i="105"/>
  <c r="AL17" i="105"/>
  <c r="AI17" i="105" s="1"/>
  <c r="AK17" i="105"/>
  <c r="AH17" i="105" s="1"/>
  <c r="AO16" i="105"/>
  <c r="AN16" i="105" s="1"/>
  <c r="Z16" i="105"/>
  <c r="AL16" i="105"/>
  <c r="AK16" i="105"/>
  <c r="AH16" i="105" s="1"/>
  <c r="AI16" i="105"/>
  <c r="AO15" i="105"/>
  <c r="AN15" i="105"/>
  <c r="Z15" i="105" s="1"/>
  <c r="AL15" i="105"/>
  <c r="AK15" i="105"/>
  <c r="AH15" i="105" s="1"/>
  <c r="AI15" i="105"/>
  <c r="AE15" i="105" s="1"/>
  <c r="X15" i="105" s="1"/>
  <c r="AO14" i="105"/>
  <c r="AN14" i="105"/>
  <c r="Z14" i="105" s="1"/>
  <c r="AL14" i="105"/>
  <c r="AI14" i="105"/>
  <c r="AK14" i="105"/>
  <c r="AH14" i="105" s="1"/>
  <c r="AO11" i="105"/>
  <c r="AN11" i="105" s="1"/>
  <c r="Z11" i="105" s="1"/>
  <c r="AL11" i="105"/>
  <c r="AI11" i="105"/>
  <c r="AK11" i="105"/>
  <c r="AH11" i="105" s="1"/>
  <c r="AO10" i="105"/>
  <c r="AN10" i="105" s="1"/>
  <c r="Z10" i="105" s="1"/>
  <c r="AL10" i="105"/>
  <c r="AI10" i="105"/>
  <c r="AK10" i="105"/>
  <c r="AH10" i="105" s="1"/>
  <c r="AO9" i="105"/>
  <c r="AN9" i="105" s="1"/>
  <c r="Z9" i="105" s="1"/>
  <c r="AL9" i="105"/>
  <c r="AK9" i="105"/>
  <c r="AH9" i="105" s="1"/>
  <c r="AI9" i="105"/>
  <c r="AO8" i="105"/>
  <c r="AN8" i="105" s="1"/>
  <c r="Z8" i="105" s="1"/>
  <c r="AK8" i="105"/>
  <c r="AH8" i="105" s="1"/>
  <c r="P33" i="104"/>
  <c r="X33" i="104" s="1"/>
  <c r="AF37" i="104"/>
  <c r="AE37" i="104"/>
  <c r="P37" i="104"/>
  <c r="Z37" i="104"/>
  <c r="Z33" i="104"/>
  <c r="Z38" i="104" s="1"/>
  <c r="AF36" i="104"/>
  <c r="AE36" i="104"/>
  <c r="P36" i="104"/>
  <c r="V36" i="104" s="1"/>
  <c r="Z36" i="104"/>
  <c r="AF33" i="104"/>
  <c r="AE33" i="104"/>
  <c r="V4" i="104"/>
  <c r="AO27" i="104"/>
  <c r="AN27" i="104"/>
  <c r="Z27" i="104"/>
  <c r="AO25" i="104"/>
  <c r="AN25" i="104"/>
  <c r="Z25" i="104"/>
  <c r="AO19" i="104"/>
  <c r="AN19" i="104"/>
  <c r="Z19" i="104"/>
  <c r="AL19" i="104"/>
  <c r="AI19" i="104" s="1"/>
  <c r="AK19" i="104"/>
  <c r="AH19" i="104" s="1"/>
  <c r="AO18" i="104"/>
  <c r="AN18" i="104" s="1"/>
  <c r="Z18" i="104"/>
  <c r="AL18" i="104"/>
  <c r="AI18" i="104" s="1"/>
  <c r="AK18" i="104"/>
  <c r="AH18" i="104" s="1"/>
  <c r="AO17" i="104"/>
  <c r="AN17" i="104"/>
  <c r="Z17" i="104"/>
  <c r="AL17" i="104"/>
  <c r="AI17" i="104"/>
  <c r="AK17" i="104"/>
  <c r="AH17" i="104" s="1"/>
  <c r="AO16" i="104"/>
  <c r="AN16" i="104"/>
  <c r="Z16" i="104"/>
  <c r="AL16" i="104"/>
  <c r="AI16" i="104"/>
  <c r="AK16" i="104"/>
  <c r="AH16" i="104" s="1"/>
  <c r="AO15" i="104"/>
  <c r="AN15" i="104" s="1"/>
  <c r="Z15" i="104"/>
  <c r="AL15" i="104"/>
  <c r="AK15" i="104"/>
  <c r="AH15" i="104" s="1"/>
  <c r="AI15" i="104"/>
  <c r="AO14" i="104"/>
  <c r="AN14" i="104" s="1"/>
  <c r="Z14" i="104"/>
  <c r="AL14" i="104"/>
  <c r="AI14" i="104" s="1"/>
  <c r="AE14" i="104" s="1"/>
  <c r="AK14" i="104"/>
  <c r="AH14" i="104" s="1"/>
  <c r="AO11" i="104"/>
  <c r="AN11" i="104"/>
  <c r="Z11" i="104"/>
  <c r="AL11" i="104"/>
  <c r="AI11" i="104" s="1"/>
  <c r="AK11" i="104"/>
  <c r="AH11" i="104" s="1"/>
  <c r="AO10" i="104"/>
  <c r="AN10" i="104"/>
  <c r="Z10" i="104"/>
  <c r="AL10" i="104"/>
  <c r="AI10" i="104" s="1"/>
  <c r="AK10" i="104"/>
  <c r="AH10" i="104" s="1"/>
  <c r="AO9" i="104"/>
  <c r="AN9" i="104" s="1"/>
  <c r="Z9" i="104"/>
  <c r="AL9" i="104"/>
  <c r="AI9" i="104"/>
  <c r="AK9" i="104"/>
  <c r="AH9" i="104" s="1"/>
  <c r="AO8" i="104"/>
  <c r="AN8" i="104"/>
  <c r="Z8" i="104"/>
  <c r="AK8" i="104"/>
  <c r="AH8" i="104" s="1"/>
  <c r="AF37" i="103"/>
  <c r="AE37" i="103"/>
  <c r="P37" i="103"/>
  <c r="X37" i="103"/>
  <c r="Z37" i="103"/>
  <c r="AF36" i="103"/>
  <c r="AE36" i="103"/>
  <c r="P36" i="103"/>
  <c r="Z36" i="103"/>
  <c r="Z33" i="103"/>
  <c r="AF33" i="103"/>
  <c r="AE33" i="103"/>
  <c r="V4" i="103"/>
  <c r="V27" i="103"/>
  <c r="AO27" i="103"/>
  <c r="AN27" i="103" s="1"/>
  <c r="Z27" i="103"/>
  <c r="AO25" i="103"/>
  <c r="AN25" i="103"/>
  <c r="Z25" i="103"/>
  <c r="AO19" i="103"/>
  <c r="AN19" i="103"/>
  <c r="Z19" i="103"/>
  <c r="AL19" i="103"/>
  <c r="AI19" i="103"/>
  <c r="AK19" i="103"/>
  <c r="AH19" i="103"/>
  <c r="AO18" i="103"/>
  <c r="AN18" i="103" s="1"/>
  <c r="Z18" i="103"/>
  <c r="AL18" i="103"/>
  <c r="AI18" i="103" s="1"/>
  <c r="AK18" i="103"/>
  <c r="AH18" i="103"/>
  <c r="AO17" i="103"/>
  <c r="AN17" i="103" s="1"/>
  <c r="Z17" i="103"/>
  <c r="AL17" i="103"/>
  <c r="AI17" i="103" s="1"/>
  <c r="AK17" i="103"/>
  <c r="AH17" i="103" s="1"/>
  <c r="AO16" i="103"/>
  <c r="AN16" i="103"/>
  <c r="Z16" i="103"/>
  <c r="AL16" i="103"/>
  <c r="AI16" i="103" s="1"/>
  <c r="AK16" i="103"/>
  <c r="AH16" i="103"/>
  <c r="AO15" i="103"/>
  <c r="AN15" i="103"/>
  <c r="Z15" i="103"/>
  <c r="AL15" i="103"/>
  <c r="AI15" i="103"/>
  <c r="AK15" i="103"/>
  <c r="AH15" i="103" s="1"/>
  <c r="AO14" i="103"/>
  <c r="AN14" i="103" s="1"/>
  <c r="Z14" i="103"/>
  <c r="AL14" i="103"/>
  <c r="AI14" i="103" s="1"/>
  <c r="AK14" i="103"/>
  <c r="AH14" i="103" s="1"/>
  <c r="AO11" i="103"/>
  <c r="AN11" i="103"/>
  <c r="Z11" i="103"/>
  <c r="AK11" i="103"/>
  <c r="AH11" i="103"/>
  <c r="AO10" i="103"/>
  <c r="AN10" i="103"/>
  <c r="Z10" i="103"/>
  <c r="AL10" i="103"/>
  <c r="AK10" i="103"/>
  <c r="AH10" i="103" s="1"/>
  <c r="AI10" i="103"/>
  <c r="AO9" i="103"/>
  <c r="AN9" i="103" s="1"/>
  <c r="Z9" i="103"/>
  <c r="AL9" i="103"/>
  <c r="AI9" i="103" s="1"/>
  <c r="AK9" i="103"/>
  <c r="AH9" i="103"/>
  <c r="AO8" i="103"/>
  <c r="AN8" i="103"/>
  <c r="Z8" i="103"/>
  <c r="AL8" i="103"/>
  <c r="AI8" i="103"/>
  <c r="AK8" i="103"/>
  <c r="AH8" i="103"/>
  <c r="P33" i="102"/>
  <c r="Y41" i="102" s="1"/>
  <c r="L41" i="102" s="1"/>
  <c r="P36" i="102"/>
  <c r="X36" i="102" s="1"/>
  <c r="P37" i="102"/>
  <c r="X37" i="102" s="1"/>
  <c r="AF37" i="102"/>
  <c r="AE37" i="102"/>
  <c r="Z37" i="102"/>
  <c r="AF36" i="102"/>
  <c r="AE36" i="102"/>
  <c r="Z36" i="102"/>
  <c r="Z33" i="102"/>
  <c r="Z38" i="102" s="1"/>
  <c r="AF33" i="102"/>
  <c r="AE33" i="102"/>
  <c r="V4" i="102"/>
  <c r="V36" i="102"/>
  <c r="AO27" i="102"/>
  <c r="AN27" i="102"/>
  <c r="Z27" i="102"/>
  <c r="AO25" i="102"/>
  <c r="AN25" i="102"/>
  <c r="Z25" i="102"/>
  <c r="AO19" i="102"/>
  <c r="AN19" i="102" s="1"/>
  <c r="Z19" i="102"/>
  <c r="AK19" i="102"/>
  <c r="AH19" i="102"/>
  <c r="AO18" i="102"/>
  <c r="AN18" i="102"/>
  <c r="Z18" i="102"/>
  <c r="AL18" i="102"/>
  <c r="AK18" i="102"/>
  <c r="AH18" i="102" s="1"/>
  <c r="AI18" i="102"/>
  <c r="AO17" i="102"/>
  <c r="AN17" i="102" s="1"/>
  <c r="Z17" i="102"/>
  <c r="AL17" i="102"/>
  <c r="AI17" i="102" s="1"/>
  <c r="AK17" i="102"/>
  <c r="AH17" i="102"/>
  <c r="AO16" i="102"/>
  <c r="AN16" i="102"/>
  <c r="Z16" i="102"/>
  <c r="AL16" i="102"/>
  <c r="AI16" i="102"/>
  <c r="AE16" i="102" s="1"/>
  <c r="AK16" i="102"/>
  <c r="AH16" i="102" s="1"/>
  <c r="AO15" i="102"/>
  <c r="AN15" i="102"/>
  <c r="Z15" i="102"/>
  <c r="AL15" i="102"/>
  <c r="AI15" i="102" s="1"/>
  <c r="AK15" i="102"/>
  <c r="AH15" i="102" s="1"/>
  <c r="AO14" i="102"/>
  <c r="AN14" i="102"/>
  <c r="Z14" i="102"/>
  <c r="AL14" i="102"/>
  <c r="AI14" i="102"/>
  <c r="AK14" i="102"/>
  <c r="AH14" i="102" s="1"/>
  <c r="AO11" i="102"/>
  <c r="AN11" i="102" s="1"/>
  <c r="Z11" i="102"/>
  <c r="AL11" i="102"/>
  <c r="AI11" i="102" s="1"/>
  <c r="AK11" i="102"/>
  <c r="AH11" i="102" s="1"/>
  <c r="AO10" i="102"/>
  <c r="AN10" i="102" s="1"/>
  <c r="Z10" i="102"/>
  <c r="AL10" i="102"/>
  <c r="AI10" i="102"/>
  <c r="AK10" i="102"/>
  <c r="AH10" i="102"/>
  <c r="AO9" i="102"/>
  <c r="AN9" i="102"/>
  <c r="Z9" i="102"/>
  <c r="AK9" i="102"/>
  <c r="AH9" i="102"/>
  <c r="AO8" i="102"/>
  <c r="AN8" i="102"/>
  <c r="Z8" i="102"/>
  <c r="AK8" i="102"/>
  <c r="AH8" i="102" s="1"/>
  <c r="AF37" i="92"/>
  <c r="AE37" i="92"/>
  <c r="P37" i="92"/>
  <c r="X37" i="92" s="1"/>
  <c r="Z37" i="92"/>
  <c r="AF36" i="92"/>
  <c r="AE36" i="92"/>
  <c r="P36" i="92"/>
  <c r="V36" i="92" s="1"/>
  <c r="Z36" i="92"/>
  <c r="AF33" i="92"/>
  <c r="AE33" i="92"/>
  <c r="Z27" i="92"/>
  <c r="AO25" i="92"/>
  <c r="AN25" i="92"/>
  <c r="Z25" i="92" s="1"/>
  <c r="V4" i="92"/>
  <c r="V27" i="92"/>
  <c r="AO19" i="92"/>
  <c r="AN19" i="92"/>
  <c r="Z19" i="92"/>
  <c r="AL19" i="92"/>
  <c r="AI19" i="92"/>
  <c r="AK19" i="92"/>
  <c r="AH19" i="92" s="1"/>
  <c r="AO18" i="92"/>
  <c r="AN18" i="92" s="1"/>
  <c r="Z18" i="92"/>
  <c r="AL18" i="92"/>
  <c r="AI18" i="92" s="1"/>
  <c r="AK18" i="92"/>
  <c r="AH18" i="92" s="1"/>
  <c r="AO17" i="92"/>
  <c r="AN17" i="92" s="1"/>
  <c r="Z17" i="92"/>
  <c r="AL17" i="92"/>
  <c r="AI17" i="92"/>
  <c r="AK17" i="92"/>
  <c r="AH17" i="92"/>
  <c r="AO16" i="92"/>
  <c r="AN16" i="92" s="1"/>
  <c r="Z16" i="92"/>
  <c r="AL16" i="92"/>
  <c r="AI16" i="92"/>
  <c r="AK16" i="92"/>
  <c r="AH16" i="92" s="1"/>
  <c r="AO15" i="92"/>
  <c r="AN15" i="92" s="1"/>
  <c r="Z15" i="92"/>
  <c r="AL15" i="92"/>
  <c r="AI15" i="92"/>
  <c r="AK15" i="92"/>
  <c r="AH15" i="92"/>
  <c r="AO14" i="92"/>
  <c r="AN14" i="92"/>
  <c r="Z14" i="92"/>
  <c r="AL14" i="92"/>
  <c r="AI14" i="92"/>
  <c r="AE14" i="92" s="1"/>
  <c r="AK14" i="92"/>
  <c r="AH14" i="92"/>
  <c r="AO11" i="92"/>
  <c r="AN11" i="92" s="1"/>
  <c r="Z11" i="92" s="1"/>
  <c r="AL11" i="92"/>
  <c r="AI11" i="92"/>
  <c r="AK11" i="92"/>
  <c r="AH11" i="92"/>
  <c r="AO10" i="92"/>
  <c r="AN10" i="92"/>
  <c r="Z10" i="92" s="1"/>
  <c r="AL10" i="92"/>
  <c r="AI10" i="92"/>
  <c r="AK10" i="92"/>
  <c r="AH10" i="92"/>
  <c r="AD10" i="92" s="1"/>
  <c r="V10" i="92" s="1"/>
  <c r="AO9" i="92"/>
  <c r="AN9" i="92"/>
  <c r="Z9" i="92" s="1"/>
  <c r="AK9" i="92"/>
  <c r="AH9" i="92"/>
  <c r="AO8" i="92"/>
  <c r="AN8" i="92" s="1"/>
  <c r="Z8" i="92" s="1"/>
  <c r="AL8" i="92"/>
  <c r="AI8" i="92"/>
  <c r="AE8" i="92" s="1"/>
  <c r="X8" i="92" s="1"/>
  <c r="AK8" i="92"/>
  <c r="AH8" i="92"/>
  <c r="AL17" i="97"/>
  <c r="AK17" i="97"/>
  <c r="AJ17" i="97"/>
  <c r="AI17" i="97"/>
  <c r="AH17" i="97"/>
  <c r="O18" i="97" s="1"/>
  <c r="AG17" i="97"/>
  <c r="O17" i="97" s="1"/>
  <c r="X10" i="103"/>
  <c r="X11" i="107"/>
  <c r="AI22" i="109"/>
  <c r="AB22" i="109"/>
  <c r="L33" i="109"/>
  <c r="AB21" i="109"/>
  <c r="L32" i="109"/>
  <c r="X11" i="108"/>
  <c r="X15" i="108"/>
  <c r="X15" i="102"/>
  <c r="X14" i="103"/>
  <c r="X18" i="103"/>
  <c r="X27" i="103"/>
  <c r="X27" i="105"/>
  <c r="X14" i="108"/>
  <c r="X16" i="108"/>
  <c r="X17" i="108"/>
  <c r="X19" i="105"/>
  <c r="X17" i="103"/>
  <c r="X25" i="103"/>
  <c r="X19" i="108"/>
  <c r="X17" i="107"/>
  <c r="X14" i="107"/>
  <c r="V25" i="103"/>
  <c r="V14" i="108"/>
  <c r="V19" i="108"/>
  <c r="V10" i="104"/>
  <c r="V27" i="108"/>
  <c r="X10" i="102"/>
  <c r="X16" i="103"/>
  <c r="X10" i="108"/>
  <c r="X18" i="108"/>
  <c r="X25" i="108"/>
  <c r="X27" i="108"/>
  <c r="X37" i="108"/>
  <c r="AE15" i="103"/>
  <c r="X15" i="103"/>
  <c r="X19" i="103"/>
  <c r="V16" i="104"/>
  <c r="X16" i="92"/>
  <c r="V8" i="108"/>
  <c r="X14" i="102"/>
  <c r="V27" i="102"/>
  <c r="V8" i="103"/>
  <c r="V16" i="103"/>
  <c r="V10" i="103"/>
  <c r="X9" i="107"/>
  <c r="X10" i="107"/>
  <c r="X19" i="107"/>
  <c r="V18" i="105"/>
  <c r="V16" i="105"/>
  <c r="X18" i="102"/>
  <c r="V11" i="102"/>
  <c r="X16" i="102"/>
  <c r="X25" i="102"/>
  <c r="X27" i="102"/>
  <c r="X33" i="102"/>
  <c r="V27" i="107"/>
  <c r="X11" i="102"/>
  <c r="X17" i="102"/>
  <c r="V19" i="103"/>
  <c r="X15" i="92"/>
  <c r="X19" i="92"/>
  <c r="V9" i="103"/>
  <c r="V15" i="103"/>
  <c r="V17" i="105"/>
  <c r="V19" i="105"/>
  <c r="V18" i="106"/>
  <c r="X16" i="107"/>
  <c r="X25" i="107"/>
  <c r="X27" i="107"/>
  <c r="AD11" i="108"/>
  <c r="V11" i="108"/>
  <c r="V16" i="108"/>
  <c r="V17" i="108"/>
  <c r="V18" i="108"/>
  <c r="X34" i="102"/>
  <c r="X26" i="102"/>
  <c r="X13" i="102"/>
  <c r="X12" i="102"/>
  <c r="X35" i="102"/>
  <c r="V26" i="106"/>
  <c r="V34" i="106"/>
  <c r="V12" i="106"/>
  <c r="V35" i="106"/>
  <c r="V13" i="106"/>
  <c r="V36" i="106"/>
  <c r="V37" i="106"/>
  <c r="X35" i="92"/>
  <c r="X26" i="92"/>
  <c r="X26" i="104"/>
  <c r="X35" i="104"/>
  <c r="X13" i="104"/>
  <c r="X12" i="104"/>
  <c r="X34" i="104"/>
  <c r="X26" i="106"/>
  <c r="X13" i="106"/>
  <c r="X35" i="106"/>
  <c r="X34" i="106"/>
  <c r="X12" i="106"/>
  <c r="AE17" i="92"/>
  <c r="X17" i="92"/>
  <c r="V26" i="103"/>
  <c r="V12" i="103"/>
  <c r="V13" i="103"/>
  <c r="V26" i="105"/>
  <c r="V35" i="105"/>
  <c r="V36" i="105"/>
  <c r="V14" i="106"/>
  <c r="V25" i="106"/>
  <c r="X27" i="106"/>
  <c r="X37" i="106"/>
  <c r="V26" i="108"/>
  <c r="V34" i="108"/>
  <c r="V35" i="108"/>
  <c r="V12" i="108"/>
  <c r="V13" i="108"/>
  <c r="X26" i="107"/>
  <c r="X12" i="107"/>
  <c r="X13" i="107"/>
  <c r="X35" i="107"/>
  <c r="X14" i="92"/>
  <c r="X18" i="92"/>
  <c r="V26" i="92"/>
  <c r="V33" i="102"/>
  <c r="V26" i="102"/>
  <c r="V12" i="102"/>
  <c r="V13" i="102"/>
  <c r="V11" i="103"/>
  <c r="V14" i="103"/>
  <c r="V17" i="103"/>
  <c r="V18" i="103"/>
  <c r="V37" i="103"/>
  <c r="V33" i="104"/>
  <c r="V34" i="104"/>
  <c r="V26" i="104"/>
  <c r="V27" i="104"/>
  <c r="V13" i="104"/>
  <c r="V35" i="104"/>
  <c r="V12" i="104"/>
  <c r="V37" i="104"/>
  <c r="V37" i="105"/>
  <c r="AE15" i="107"/>
  <c r="X15" i="107"/>
  <c r="X18" i="107"/>
  <c r="V26" i="107"/>
  <c r="V12" i="107"/>
  <c r="V13" i="107"/>
  <c r="V36" i="107"/>
  <c r="V10" i="108"/>
  <c r="V15" i="108"/>
  <c r="X26" i="103"/>
  <c r="X13" i="103"/>
  <c r="X12" i="103"/>
  <c r="X25" i="105"/>
  <c r="X35" i="105"/>
  <c r="X26" i="105"/>
  <c r="AE12" i="105"/>
  <c r="X12" i="105" s="1"/>
  <c r="X9" i="108"/>
  <c r="X26" i="108"/>
  <c r="X34" i="108"/>
  <c r="X12" i="108"/>
  <c r="X35" i="108"/>
  <c r="X13" i="108"/>
  <c r="AB23" i="109"/>
  <c r="L34" i="109"/>
  <c r="AB20" i="109"/>
  <c r="L31" i="109"/>
  <c r="V37" i="102"/>
  <c r="V36" i="103"/>
  <c r="X36" i="103"/>
  <c r="X37" i="104"/>
  <c r="X37" i="105"/>
  <c r="X36" i="106"/>
  <c r="Y41" i="106"/>
  <c r="X36" i="107"/>
  <c r="X9" i="102"/>
  <c r="X9" i="103"/>
  <c r="X16" i="104"/>
  <c r="L41" i="106"/>
  <c r="V11" i="107"/>
  <c r="V25" i="108"/>
  <c r="V19" i="107"/>
  <c r="X19" i="106"/>
  <c r="X17" i="106"/>
  <c r="V9" i="106"/>
  <c r="V15" i="106"/>
  <c r="V19" i="106"/>
  <c r="V11" i="106"/>
  <c r="V17" i="106"/>
  <c r="V8" i="106"/>
  <c r="V10" i="106"/>
  <c r="V16" i="106"/>
  <c r="AE16" i="105"/>
  <c r="X16" i="105"/>
  <c r="AE8" i="105"/>
  <c r="X8" i="105" s="1"/>
  <c r="AE14" i="105"/>
  <c r="X14" i="105" s="1"/>
  <c r="AE9" i="105"/>
  <c r="X9" i="105" s="1"/>
  <c r="X17" i="105"/>
  <c r="X18" i="105"/>
  <c r="V11" i="104"/>
  <c r="V17" i="104"/>
  <c r="V9" i="104"/>
  <c r="V15" i="104"/>
  <c r="V19" i="104"/>
  <c r="V8" i="104"/>
  <c r="V14" i="104"/>
  <c r="V18" i="104"/>
  <c r="V8" i="102"/>
  <c r="V14" i="102"/>
  <c r="V19" i="102"/>
  <c r="V18" i="102"/>
  <c r="V16" i="102"/>
  <c r="V15" i="102"/>
  <c r="V10" i="102"/>
  <c r="V17" i="102"/>
  <c r="V9" i="102"/>
  <c r="Z33" i="92"/>
  <c r="AE13" i="92"/>
  <c r="X13" i="92" s="1"/>
  <c r="X8" i="108"/>
  <c r="V14" i="107"/>
  <c r="V16" i="107"/>
  <c r="V17" i="107"/>
  <c r="V15" i="107"/>
  <c r="V18" i="107"/>
  <c r="V9" i="107"/>
  <c r="V25" i="107"/>
  <c r="V10" i="107"/>
  <c r="X9" i="106"/>
  <c r="X11" i="106"/>
  <c r="X25" i="106"/>
  <c r="X8" i="106"/>
  <c r="X15" i="106"/>
  <c r="X16" i="106"/>
  <c r="X18" i="106"/>
  <c r="X14" i="106"/>
  <c r="X10" i="106"/>
  <c r="V25" i="105"/>
  <c r="X10" i="104"/>
  <c r="X17" i="104"/>
  <c r="X25" i="104"/>
  <c r="X8" i="104"/>
  <c r="AE15" i="104"/>
  <c r="X15" i="104"/>
  <c r="X14" i="104"/>
  <c r="X11" i="104"/>
  <c r="V25" i="104"/>
  <c r="X9" i="104"/>
  <c r="X18" i="104"/>
  <c r="X19" i="104"/>
  <c r="X8" i="103"/>
  <c r="V25" i="102"/>
  <c r="X8" i="102"/>
  <c r="AD12" i="92"/>
  <c r="V12" i="92" s="1"/>
  <c r="V19" i="92"/>
  <c r="V14" i="92"/>
  <c r="V17" i="92"/>
  <c r="V16" i="92"/>
  <c r="V25" i="92"/>
  <c r="V28" i="92" s="1"/>
  <c r="AE9" i="92"/>
  <c r="X9" i="92" s="1"/>
  <c r="V18" i="92"/>
  <c r="V15" i="92"/>
  <c r="AD8" i="92"/>
  <c r="V8" i="92" s="1"/>
  <c r="X25" i="92"/>
  <c r="N22" i="110"/>
  <c r="N19" i="110"/>
  <c r="AD9" i="103"/>
  <c r="AE18" i="104" l="1"/>
  <c r="Y41" i="104"/>
  <c r="L41" i="104" s="1"/>
  <c r="X36" i="104"/>
  <c r="Z38" i="103"/>
  <c r="AD16" i="102"/>
  <c r="AE9" i="102"/>
  <c r="AE13" i="107"/>
  <c r="AE10" i="102"/>
  <c r="X33" i="108"/>
  <c r="X36" i="108"/>
  <c r="X36" i="92"/>
  <c r="AE11" i="103"/>
  <c r="AD9" i="108"/>
  <c r="V37" i="92"/>
  <c r="AE18" i="103"/>
  <c r="Z34" i="92"/>
  <c r="Z38" i="92" s="1"/>
  <c r="P33" i="107"/>
  <c r="Z33" i="107" s="1"/>
  <c r="Z38" i="107" s="1"/>
  <c r="Y41" i="108"/>
  <c r="L41" i="108" s="1"/>
  <c r="V33" i="106"/>
  <c r="X37" i="107"/>
  <c r="AD13" i="92"/>
  <c r="V13" i="92" s="1"/>
  <c r="AE16" i="107"/>
  <c r="AE13" i="104"/>
  <c r="AD13" i="103"/>
  <c r="AE8" i="106"/>
  <c r="X34" i="107"/>
  <c r="V34" i="107"/>
  <c r="V34" i="103"/>
  <c r="X34" i="103"/>
  <c r="X34" i="105"/>
  <c r="V34" i="105"/>
  <c r="V34" i="92"/>
  <c r="L30" i="109"/>
  <c r="L35" i="109" s="1"/>
  <c r="X33" i="103"/>
  <c r="V33" i="103"/>
  <c r="R17" i="110"/>
  <c r="R25" i="110" s="1"/>
  <c r="N17" i="110"/>
  <c r="N25" i="110" s="1"/>
  <c r="P17" i="110"/>
  <c r="P25" i="110" s="1"/>
  <c r="W32" i="110" s="1"/>
  <c r="Y30" i="110"/>
  <c r="P30" i="110" s="1"/>
  <c r="X33" i="107"/>
  <c r="Y41" i="107"/>
  <c r="L41" i="107" s="1"/>
  <c r="Y41" i="103"/>
  <c r="L41" i="103" s="1"/>
  <c r="P33" i="105"/>
  <c r="X33" i="92"/>
  <c r="X38" i="92" s="1"/>
  <c r="V33" i="92"/>
  <c r="Y41" i="92"/>
  <c r="L41" i="92" s="1"/>
  <c r="AD19" i="103"/>
  <c r="AD9" i="92"/>
  <c r="V9" i="92" s="1"/>
  <c r="AD11" i="92"/>
  <c r="V11" i="92" s="1"/>
  <c r="AE8" i="104"/>
  <c r="AE17" i="105"/>
  <c r="AE10" i="105"/>
  <c r="X10" i="105" s="1"/>
  <c r="Z28" i="106"/>
  <c r="X28" i="104"/>
  <c r="AD16" i="92"/>
  <c r="AE11" i="104"/>
  <c r="AE17" i="104"/>
  <c r="AE19" i="105"/>
  <c r="AD19" i="92"/>
  <c r="AE19" i="104"/>
  <c r="AE12" i="104"/>
  <c r="AD17" i="92"/>
  <c r="AE10" i="104"/>
  <c r="AE14" i="103"/>
  <c r="N12" i="110"/>
  <c r="X28" i="92"/>
  <c r="X28" i="107"/>
  <c r="AD14" i="104"/>
  <c r="Z28" i="92"/>
  <c r="AD17" i="108"/>
  <c r="P12" i="110"/>
  <c r="AD13" i="108"/>
  <c r="AD11" i="104"/>
  <c r="Z28" i="108"/>
  <c r="X28" i="103"/>
  <c r="V38" i="102"/>
  <c r="Z28" i="103"/>
  <c r="AD8" i="104"/>
  <c r="AE11" i="105"/>
  <c r="X11" i="105" s="1"/>
  <c r="Z20" i="108"/>
  <c r="W44" i="108" s="1"/>
  <c r="R12" i="110"/>
  <c r="AD9" i="102"/>
  <c r="AE15" i="92"/>
  <c r="V28" i="104"/>
  <c r="AE16" i="106"/>
  <c r="Z28" i="105"/>
  <c r="AD19" i="107"/>
  <c r="X38" i="102"/>
  <c r="V38" i="104"/>
  <c r="AE18" i="102"/>
  <c r="AE9" i="103"/>
  <c r="AE12" i="103"/>
  <c r="AD12" i="108"/>
  <c r="AE12" i="102"/>
  <c r="AE14" i="102"/>
  <c r="AE10" i="103"/>
  <c r="AE16" i="103"/>
  <c r="AD15" i="108"/>
  <c r="AD13" i="107"/>
  <c r="AD8" i="107"/>
  <c r="V8" i="107" s="1"/>
  <c r="V20" i="107" s="1"/>
  <c r="AD10" i="107"/>
  <c r="AE12" i="108"/>
  <c r="AD18" i="108"/>
  <c r="AE17" i="102"/>
  <c r="AD14" i="108"/>
  <c r="AD14" i="107"/>
  <c r="V28" i="103"/>
  <c r="AE11" i="102"/>
  <c r="AE19" i="103"/>
  <c r="V28" i="105"/>
  <c r="AD16" i="107"/>
  <c r="AE8" i="102"/>
  <c r="AE15" i="106"/>
  <c r="AD15" i="107"/>
  <c r="AE8" i="103"/>
  <c r="AD9" i="107"/>
  <c r="AD17" i="107"/>
  <c r="AE13" i="103"/>
  <c r="AD19" i="108"/>
  <c r="AE15" i="102"/>
  <c r="AE17" i="103"/>
  <c r="AD16" i="106"/>
  <c r="AD17" i="106"/>
  <c r="AE10" i="106"/>
  <c r="AE9" i="106"/>
  <c r="AE8" i="108"/>
  <c r="AE17" i="106"/>
  <c r="X28" i="102"/>
  <c r="AE18" i="92"/>
  <c r="AE9" i="104"/>
  <c r="AD11" i="107"/>
  <c r="Z20" i="104"/>
  <c r="AE14" i="108"/>
  <c r="AE14" i="106"/>
  <c r="AE13" i="108"/>
  <c r="V28" i="106"/>
  <c r="AE16" i="104"/>
  <c r="AD8" i="108"/>
  <c r="AD10" i="108"/>
  <c r="Z20" i="105"/>
  <c r="Z28" i="102"/>
  <c r="AD18" i="103"/>
  <c r="AE19" i="106"/>
  <c r="AE9" i="108"/>
  <c r="AD11" i="103"/>
  <c r="AD15" i="92"/>
  <c r="AE18" i="106"/>
  <c r="X28" i="106"/>
  <c r="V28" i="107"/>
  <c r="X28" i="108"/>
  <c r="X20" i="107"/>
  <c r="AE13" i="106"/>
  <c r="AE18" i="108"/>
  <c r="AD8" i="103"/>
  <c r="AE9" i="107"/>
  <c r="AE14" i="107"/>
  <c r="AD16" i="108"/>
  <c r="X38" i="104"/>
  <c r="AE11" i="106"/>
  <c r="V20" i="106"/>
  <c r="AE12" i="106"/>
  <c r="AD15" i="103"/>
  <c r="AE10" i="108"/>
  <c r="AE17" i="108"/>
  <c r="AD17" i="105"/>
  <c r="AD14" i="103"/>
  <c r="AE16" i="108"/>
  <c r="AD18" i="104"/>
  <c r="X38" i="106"/>
  <c r="V20" i="103"/>
  <c r="V20" i="108"/>
  <c r="X20" i="103"/>
  <c r="X20" i="108"/>
  <c r="Z20" i="103"/>
  <c r="W44" i="103" s="1"/>
  <c r="AD17" i="103"/>
  <c r="AD9" i="104"/>
  <c r="AD15" i="104"/>
  <c r="AD17" i="104"/>
  <c r="Z28" i="104"/>
  <c r="V28" i="102"/>
  <c r="AD19" i="102"/>
  <c r="X20" i="102"/>
  <c r="AD16" i="103"/>
  <c r="AD18" i="92"/>
  <c r="Z20" i="106"/>
  <c r="AE13" i="102"/>
  <c r="V20" i="104"/>
  <c r="W42" i="104" s="1"/>
  <c r="X38" i="108"/>
  <c r="V38" i="108"/>
  <c r="AD14" i="92"/>
  <c r="Z20" i="102"/>
  <c r="AD13" i="104"/>
  <c r="V20" i="102"/>
  <c r="X20" i="106"/>
  <c r="AD19" i="104"/>
  <c r="V28" i="108"/>
  <c r="V38" i="106"/>
  <c r="AD9" i="105"/>
  <c r="V9" i="105" s="1"/>
  <c r="AD18" i="105"/>
  <c r="AD18" i="107"/>
  <c r="Z20" i="92"/>
  <c r="X20" i="104"/>
  <c r="X28" i="105"/>
  <c r="AD10" i="103"/>
  <c r="AD16" i="104"/>
  <c r="AD13" i="106"/>
  <c r="Z20" i="107"/>
  <c r="Z28" i="107"/>
  <c r="AD12" i="104"/>
  <c r="AD14" i="102"/>
  <c r="AD9" i="106"/>
  <c r="AD12" i="102"/>
  <c r="AD12" i="105"/>
  <c r="V12" i="105" s="1"/>
  <c r="AE10" i="92"/>
  <c r="X10" i="92" s="1"/>
  <c r="AD17" i="102"/>
  <c r="AD10" i="104"/>
  <c r="AD19" i="105"/>
  <c r="AD12" i="103"/>
  <c r="AD10" i="102"/>
  <c r="AD11" i="106"/>
  <c r="AD12" i="106"/>
  <c r="AD10" i="105"/>
  <c r="V10" i="105" s="1"/>
  <c r="AD14" i="105"/>
  <c r="V14" i="105" s="1"/>
  <c r="AE16" i="92"/>
  <c r="AE19" i="92"/>
  <c r="AD11" i="105"/>
  <c r="V11" i="105" s="1"/>
  <c r="AD16" i="105"/>
  <c r="AE15" i="108"/>
  <c r="AE19" i="102"/>
  <c r="AD18" i="102"/>
  <c r="AD8" i="102"/>
  <c r="AD15" i="105"/>
  <c r="V15" i="105" s="1"/>
  <c r="AD11" i="102"/>
  <c r="AE11" i="92"/>
  <c r="X11" i="92" s="1"/>
  <c r="AE11" i="108"/>
  <c r="AD13" i="102"/>
  <c r="AD15" i="102"/>
  <c r="AD8" i="106"/>
  <c r="AD19" i="106"/>
  <c r="AD14" i="106"/>
  <c r="AD13" i="105"/>
  <c r="V13" i="105" s="1"/>
  <c r="AD18" i="106"/>
  <c r="AD8" i="105"/>
  <c r="V8" i="105" s="1"/>
  <c r="AD10" i="106"/>
  <c r="AD15" i="106"/>
  <c r="X33" i="105" l="1"/>
  <c r="X38" i="105" s="1"/>
  <c r="Z33" i="105"/>
  <c r="Z38" i="105" s="1"/>
  <c r="W44" i="106"/>
  <c r="V33" i="107"/>
  <c r="V38" i="107" s="1"/>
  <c r="W42" i="107" s="1"/>
  <c r="X38" i="103"/>
  <c r="W43" i="103" s="1"/>
  <c r="V38" i="103"/>
  <c r="W42" i="103" s="1"/>
  <c r="V38" i="92"/>
  <c r="X38" i="107"/>
  <c r="W43" i="107" s="1"/>
  <c r="V20" i="105"/>
  <c r="V20" i="92"/>
  <c r="V33" i="105"/>
  <c r="V38" i="105" s="1"/>
  <c r="W33" i="110"/>
  <c r="W31" i="110"/>
  <c r="Y41" i="105"/>
  <c r="L41" i="105" s="1"/>
  <c r="J11" i="97" s="1"/>
  <c r="W44" i="92"/>
  <c r="X20" i="105"/>
  <c r="X20" i="92"/>
  <c r="W43" i="92" s="1"/>
  <c r="W44" i="105"/>
  <c r="W43" i="106"/>
  <c r="W43" i="102"/>
  <c r="W44" i="104"/>
  <c r="W44" i="102"/>
  <c r="W42" i="108"/>
  <c r="W43" i="104"/>
  <c r="W42" i="106"/>
  <c r="W44" i="107"/>
  <c r="W42" i="102"/>
  <c r="W43" i="108"/>
  <c r="W43" i="105" l="1"/>
  <c r="W42" i="92"/>
  <c r="W42" i="105"/>
  <c r="AH19" i="97"/>
  <c r="J12" i="97" s="1"/>
  <c r="J17" i="97" s="1"/>
  <c r="T17" i="97" s="1"/>
  <c r="AH21" i="97"/>
  <c r="X12" i="97" s="1"/>
  <c r="AH20" i="97"/>
  <c r="X11" i="97" s="1"/>
  <c r="J18" i="97" s="1"/>
  <c r="T18" i="97" s="1"/>
</calcChain>
</file>

<file path=xl/comments1.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2.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3.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4.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5.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6.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7.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comments8.xml><?xml version="1.0" encoding="utf-8"?>
<comments xmlns="http://schemas.openxmlformats.org/spreadsheetml/2006/main">
  <authors>
    <author>012</author>
    <author>小室 達也</author>
  </authors>
  <commentList>
    <comment ref="N5" authorId="0" shapeId="0">
      <text>
        <r>
          <rPr>
            <sz val="9"/>
            <color indexed="81"/>
            <rFont val="ＭＳ Ｐゴシック"/>
            <family val="3"/>
            <charset val="128"/>
          </rPr>
          <t>取得日射量補正係数は簡略計算法にて算出</t>
        </r>
      </text>
    </comment>
    <comment ref="T31" authorId="1" shapeId="0">
      <text>
        <r>
          <rPr>
            <sz val="9"/>
            <color indexed="81"/>
            <rFont val="ＭＳ Ｐゴシック"/>
            <family val="3"/>
            <charset val="128"/>
          </rPr>
          <t>日射の当たらない基礎等の場合は、チェックを入れる</t>
        </r>
      </text>
    </comment>
  </commentList>
</comments>
</file>

<file path=xl/sharedStrings.xml><?xml version="1.0" encoding="utf-8"?>
<sst xmlns="http://schemas.openxmlformats.org/spreadsheetml/2006/main" count="879" uniqueCount="263">
  <si>
    <t>仕様番号</t>
    <rPh sb="0" eb="2">
      <t>シヨウ</t>
    </rPh>
    <rPh sb="2" eb="4">
      <t>バンゴウ</t>
    </rPh>
    <phoneticPr fontId="2"/>
  </si>
  <si>
    <t>外壁</t>
    <rPh sb="0" eb="2">
      <t>ガイヘキ</t>
    </rPh>
    <phoneticPr fontId="2"/>
  </si>
  <si>
    <t>階</t>
    <rPh sb="0" eb="1">
      <t>カイ</t>
    </rPh>
    <phoneticPr fontId="2"/>
  </si>
  <si>
    <t>ｙ2</t>
    <phoneticPr fontId="2"/>
  </si>
  <si>
    <t>冷房期</t>
    <rPh sb="0" eb="2">
      <t>レイボウ</t>
    </rPh>
    <rPh sb="2" eb="3">
      <t>キ</t>
    </rPh>
    <phoneticPr fontId="2"/>
  </si>
  <si>
    <t>1）窓の入力</t>
    <rPh sb="2" eb="3">
      <t>マド</t>
    </rPh>
    <rPh sb="4" eb="6">
      <t>ニュウリョク</t>
    </rPh>
    <phoneticPr fontId="2"/>
  </si>
  <si>
    <t>窓番号</t>
    <rPh sb="0" eb="1">
      <t>マド</t>
    </rPh>
    <rPh sb="1" eb="3">
      <t>バンゴウ</t>
    </rPh>
    <phoneticPr fontId="2"/>
  </si>
  <si>
    <t>熱貫流率</t>
    <rPh sb="0" eb="1">
      <t>ネツ</t>
    </rPh>
    <rPh sb="1" eb="3">
      <t>カンリュウ</t>
    </rPh>
    <rPh sb="3" eb="4">
      <t>リツ</t>
    </rPh>
    <phoneticPr fontId="2"/>
  </si>
  <si>
    <t>高さ</t>
    <rPh sb="0" eb="1">
      <t>タカ</t>
    </rPh>
    <phoneticPr fontId="2"/>
  </si>
  <si>
    <t>幅</t>
    <rPh sb="0" eb="1">
      <t>ハバ</t>
    </rPh>
    <phoneticPr fontId="2"/>
  </si>
  <si>
    <t>付属部材
の有無</t>
    <rPh sb="0" eb="2">
      <t>フゾク</t>
    </rPh>
    <rPh sb="2" eb="4">
      <t>ブザイ</t>
    </rPh>
    <rPh sb="6" eb="8">
      <t>ウム</t>
    </rPh>
    <phoneticPr fontId="2"/>
  </si>
  <si>
    <t>Z</t>
    <phoneticPr fontId="2"/>
  </si>
  <si>
    <t>ｙ1</t>
    <phoneticPr fontId="2"/>
  </si>
  <si>
    <t>熱損失</t>
    <rPh sb="0" eb="1">
      <t>ネツ</t>
    </rPh>
    <rPh sb="1" eb="3">
      <t>ソンシツ</t>
    </rPh>
    <phoneticPr fontId="2"/>
  </si>
  <si>
    <t>取得日射量補正係数</t>
    <rPh sb="0" eb="2">
      <t>シュトク</t>
    </rPh>
    <rPh sb="2" eb="4">
      <t>ニッシャ</t>
    </rPh>
    <rPh sb="4" eb="5">
      <t>リョウ</t>
    </rPh>
    <rPh sb="5" eb="7">
      <t>ホセイ</t>
    </rPh>
    <rPh sb="7" eb="9">
      <t>ケイスウ</t>
    </rPh>
    <phoneticPr fontId="2"/>
  </si>
  <si>
    <t>2）ドアの入力</t>
    <rPh sb="5" eb="7">
      <t>ニュウリョク</t>
    </rPh>
    <phoneticPr fontId="2"/>
  </si>
  <si>
    <t>ドア番号</t>
    <rPh sb="2" eb="4">
      <t>バンゴウ</t>
    </rPh>
    <phoneticPr fontId="2"/>
  </si>
  <si>
    <t>3）外壁の入力</t>
    <rPh sb="2" eb="4">
      <t>ガイヘキ</t>
    </rPh>
    <rPh sb="5" eb="7">
      <t>ニュウリョク</t>
    </rPh>
    <phoneticPr fontId="2"/>
  </si>
  <si>
    <t>暖房期</t>
    <rPh sb="0" eb="2">
      <t>ダンボウ</t>
    </rPh>
    <rPh sb="2" eb="3">
      <t>キ</t>
    </rPh>
    <phoneticPr fontId="2"/>
  </si>
  <si>
    <t>㎡）</t>
    <phoneticPr fontId="2"/>
  </si>
  <si>
    <t>　総熱損失</t>
    <rPh sb="1" eb="2">
      <t>ソウ</t>
    </rPh>
    <rPh sb="2" eb="3">
      <t>ネツ</t>
    </rPh>
    <rPh sb="3" eb="5">
      <t>ソンシツ</t>
    </rPh>
    <phoneticPr fontId="2"/>
  </si>
  <si>
    <t>W/K</t>
    <phoneticPr fontId="2"/>
  </si>
  <si>
    <t>ドア</t>
    <phoneticPr fontId="2"/>
  </si>
  <si>
    <t>（窓</t>
    <rPh sb="1" eb="2">
      <t>マド</t>
    </rPh>
    <phoneticPr fontId="2"/>
  </si>
  <si>
    <t>㎡</t>
    <phoneticPr fontId="2"/>
  </si>
  <si>
    <t>㎡、</t>
    <phoneticPr fontId="2"/>
  </si>
  <si>
    <t>1）基本情報の入力</t>
    <rPh sb="2" eb="4">
      <t>キホン</t>
    </rPh>
    <rPh sb="4" eb="6">
      <t>ジョウホウ</t>
    </rPh>
    <rPh sb="7" eb="9">
      <t>ニュウリョク</t>
    </rPh>
    <phoneticPr fontId="2"/>
  </si>
  <si>
    <t>　住宅の名称</t>
    <rPh sb="1" eb="3">
      <t>ジュウタク</t>
    </rPh>
    <rPh sb="4" eb="6">
      <t>メイショウ</t>
    </rPh>
    <phoneticPr fontId="2"/>
  </si>
  <si>
    <t>　住宅の所在地</t>
    <rPh sb="1" eb="3">
      <t>ジュウタク</t>
    </rPh>
    <rPh sb="4" eb="7">
      <t>ショザイチ</t>
    </rPh>
    <phoneticPr fontId="2"/>
  </si>
  <si>
    <t>　住宅の規模</t>
    <rPh sb="1" eb="3">
      <t>ジュウタク</t>
    </rPh>
    <rPh sb="4" eb="6">
      <t>キボ</t>
    </rPh>
    <phoneticPr fontId="2"/>
  </si>
  <si>
    <t>（地域区分）</t>
    <rPh sb="1" eb="3">
      <t>チイキ</t>
    </rPh>
    <rPh sb="3" eb="5">
      <t>クブン</t>
    </rPh>
    <phoneticPr fontId="2"/>
  </si>
  <si>
    <t>地上</t>
    <rPh sb="0" eb="2">
      <t>チジョウ</t>
    </rPh>
    <phoneticPr fontId="2"/>
  </si>
  <si>
    <t>、地下</t>
    <rPh sb="1" eb="3">
      <t>チカ</t>
    </rPh>
    <phoneticPr fontId="2"/>
  </si>
  <si>
    <t>2）計算結果</t>
    <rPh sb="2" eb="4">
      <t>ケイサン</t>
    </rPh>
    <rPh sb="4" eb="6">
      <t>ケッカ</t>
    </rPh>
    <phoneticPr fontId="2"/>
  </si>
  <si>
    <t>W/（㎡K）</t>
    <phoneticPr fontId="2"/>
  </si>
  <si>
    <t>方位係数</t>
    <rPh sb="0" eb="2">
      <t>ホウイ</t>
    </rPh>
    <rPh sb="2" eb="4">
      <t>ケイスウ</t>
    </rPh>
    <phoneticPr fontId="2"/>
  </si>
  <si>
    <t>部位番号</t>
    <rPh sb="0" eb="2">
      <t>ブイ</t>
    </rPh>
    <rPh sb="2" eb="4">
      <t>バンゴウ</t>
    </rPh>
    <phoneticPr fontId="2"/>
  </si>
  <si>
    <t>部位名</t>
    <rPh sb="0" eb="2">
      <t>ブイ</t>
    </rPh>
    <rPh sb="2" eb="3">
      <t>メイ</t>
    </rPh>
    <phoneticPr fontId="2"/>
  </si>
  <si>
    <t>断熱材
熱抵抗
Ｒ１</t>
    <rPh sb="0" eb="3">
      <t>ダンネツザイ</t>
    </rPh>
    <rPh sb="4" eb="5">
      <t>ネツ</t>
    </rPh>
    <rPh sb="5" eb="7">
      <t>テイコウ</t>
    </rPh>
    <phoneticPr fontId="2"/>
  </si>
  <si>
    <t>断熱材
熱抵抗
Ｒ２</t>
    <rPh sb="0" eb="3">
      <t>ダンネツザイ</t>
    </rPh>
    <rPh sb="4" eb="5">
      <t>ネツ</t>
    </rPh>
    <rPh sb="5" eb="7">
      <t>テイコウ</t>
    </rPh>
    <phoneticPr fontId="2"/>
  </si>
  <si>
    <t>断熱材
熱抵抗
Ｒ３</t>
    <rPh sb="0" eb="3">
      <t>ダンネツザイ</t>
    </rPh>
    <rPh sb="4" eb="5">
      <t>ネツ</t>
    </rPh>
    <rPh sb="5" eb="7">
      <t>テイコウ</t>
    </rPh>
    <phoneticPr fontId="2"/>
  </si>
  <si>
    <t>断熱材
熱抵抗
Ｒ４</t>
    <rPh sb="0" eb="3">
      <t>ダンネツザイ</t>
    </rPh>
    <rPh sb="4" eb="5">
      <t>ネツ</t>
    </rPh>
    <rPh sb="5" eb="7">
      <t>テイコウ</t>
    </rPh>
    <phoneticPr fontId="2"/>
  </si>
  <si>
    <t>基礎高
Ｈ１</t>
    <rPh sb="0" eb="2">
      <t>キソ</t>
    </rPh>
    <rPh sb="2" eb="3">
      <t>タカ</t>
    </rPh>
    <phoneticPr fontId="2"/>
  </si>
  <si>
    <t>底盤高
Ｈ２</t>
    <rPh sb="0" eb="1">
      <t>テイ</t>
    </rPh>
    <rPh sb="1" eb="2">
      <t>バン</t>
    </rPh>
    <rPh sb="2" eb="3">
      <t>タカ</t>
    </rPh>
    <phoneticPr fontId="2"/>
  </si>
  <si>
    <t>断熱材
根入れ
Ｗ１</t>
    <rPh sb="0" eb="3">
      <t>ダンネツザイ</t>
    </rPh>
    <rPh sb="4" eb="5">
      <t>ネ</t>
    </rPh>
    <rPh sb="5" eb="6">
      <t>イ</t>
    </rPh>
    <phoneticPr fontId="2"/>
  </si>
  <si>
    <t>断熱材
折返し
Ｗ２</t>
    <rPh sb="0" eb="3">
      <t>ダンネツザイ</t>
    </rPh>
    <rPh sb="4" eb="6">
      <t>オリカエ</t>
    </rPh>
    <phoneticPr fontId="2"/>
  </si>
  <si>
    <t>断熱材
折返し
Ｗ３</t>
    <rPh sb="0" eb="3">
      <t>ダンネツザイ</t>
    </rPh>
    <rPh sb="4" eb="6">
      <t>オリカエ</t>
    </rPh>
    <phoneticPr fontId="2"/>
  </si>
  <si>
    <t>適　用
計算式
番　号</t>
    <rPh sb="0" eb="1">
      <t>テキ</t>
    </rPh>
    <rPh sb="2" eb="3">
      <t>ヨウ</t>
    </rPh>
    <rPh sb="4" eb="6">
      <t>ケイサン</t>
    </rPh>
    <rPh sb="6" eb="7">
      <t>シキ</t>
    </rPh>
    <rPh sb="8" eb="9">
      <t>バン</t>
    </rPh>
    <rPh sb="10" eb="11">
      <t>ゴウ</t>
    </rPh>
    <phoneticPr fontId="2"/>
  </si>
  <si>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2"/>
  </si>
  <si>
    <t>　注２：Ｈ１の寸法（基礎高さ）は0.4ｍを上限とし、0.4ｍを超える部分は内訳計算シートＡで計算して下さい。</t>
    <rPh sb="1" eb="2">
      <t>チュウ</t>
    </rPh>
    <rPh sb="7" eb="9">
      <t>スンポウ</t>
    </rPh>
    <rPh sb="10" eb="12">
      <t>キソ</t>
    </rPh>
    <rPh sb="12" eb="13">
      <t>タカ</t>
    </rPh>
    <rPh sb="21" eb="23">
      <t>ジョウゲン</t>
    </rPh>
    <rPh sb="31" eb="32">
      <t>コ</t>
    </rPh>
    <rPh sb="34" eb="36">
      <t>ブブン</t>
    </rPh>
    <rPh sb="37" eb="39">
      <t>ウチワケ</t>
    </rPh>
    <rPh sb="39" eb="41">
      <t>ケイサン</t>
    </rPh>
    <rPh sb="46" eb="48">
      <t>ケイサン</t>
    </rPh>
    <rPh sb="50" eb="51">
      <t>クダ</t>
    </rPh>
    <phoneticPr fontId="2"/>
  </si>
  <si>
    <t>基礎等
外周長
Ｌ</t>
    <rPh sb="0" eb="2">
      <t>キソ</t>
    </rPh>
    <rPh sb="2" eb="3">
      <t>トウ</t>
    </rPh>
    <rPh sb="4" eb="6">
      <t>ガイシュウ</t>
    </rPh>
    <rPh sb="6" eb="7">
      <t>チョウ</t>
    </rPh>
    <phoneticPr fontId="2"/>
  </si>
  <si>
    <t>温度差
係　数</t>
    <rPh sb="0" eb="3">
      <t>オンドサ</t>
    </rPh>
    <rPh sb="4" eb="5">
      <t>カカ</t>
    </rPh>
    <rPh sb="6" eb="7">
      <t>スウ</t>
    </rPh>
    <phoneticPr fontId="2"/>
  </si>
  <si>
    <r>
      <t>内訳計算シートＣ　　</t>
    </r>
    <r>
      <rPr>
        <b/>
        <sz val="14"/>
        <rFont val="HG丸ｺﾞｼｯｸM-PRO"/>
        <family val="3"/>
        <charset val="128"/>
      </rPr>
      <t>＜基礎等＞</t>
    </r>
    <r>
      <rPr>
        <sz val="12"/>
        <rFont val="HG丸ｺﾞｼｯｸM-PRO"/>
        <family val="3"/>
        <charset val="128"/>
      </rPr>
      <t xml:space="preserve"> の熱損失量（基礎断熱及び土間床等の部分）</t>
    </r>
    <rPh sb="0" eb="2">
      <t>ウチワケ</t>
    </rPh>
    <rPh sb="2" eb="4">
      <t>ケイサン</t>
    </rPh>
    <rPh sb="11" eb="14">
      <t>キソトウ</t>
    </rPh>
    <rPh sb="17" eb="18">
      <t>ネツ</t>
    </rPh>
    <rPh sb="18" eb="20">
      <t>ソンシツ</t>
    </rPh>
    <rPh sb="20" eb="21">
      <t>リョウ</t>
    </rPh>
    <rPh sb="22" eb="24">
      <t>キソ</t>
    </rPh>
    <rPh sb="24" eb="26">
      <t>ダンネツ</t>
    </rPh>
    <rPh sb="26" eb="27">
      <t>オヨ</t>
    </rPh>
    <rPh sb="28" eb="30">
      <t>ドマ</t>
    </rPh>
    <rPh sb="30" eb="31">
      <t>ユカ</t>
    </rPh>
    <rPh sb="31" eb="32">
      <t>トウ</t>
    </rPh>
    <rPh sb="33" eb="35">
      <t>ブブン</t>
    </rPh>
    <phoneticPr fontId="2"/>
  </si>
  <si>
    <t>外壁
面積</t>
    <rPh sb="0" eb="2">
      <t>ガイヘキ</t>
    </rPh>
    <rPh sb="3" eb="5">
      <t>メンセキ</t>
    </rPh>
    <phoneticPr fontId="2"/>
  </si>
  <si>
    <t>計算対象
外壁面積</t>
    <rPh sb="0" eb="2">
      <t>ケイサン</t>
    </rPh>
    <rPh sb="2" eb="4">
      <t>タイショウ</t>
    </rPh>
    <rPh sb="5" eb="7">
      <t>ガイヘキ</t>
    </rPh>
    <rPh sb="7" eb="9">
      <t>メンセキ</t>
    </rPh>
    <phoneticPr fontId="2"/>
  </si>
  <si>
    <t>1）天窓等の入力</t>
    <rPh sb="2" eb="3">
      <t>テン</t>
    </rPh>
    <rPh sb="3" eb="4">
      <t>マド</t>
    </rPh>
    <rPh sb="4" eb="5">
      <t>トウ</t>
    </rPh>
    <rPh sb="6" eb="8">
      <t>ニュウリョク</t>
    </rPh>
    <phoneticPr fontId="2"/>
  </si>
  <si>
    <t>　外皮等面積（内訳）</t>
    <rPh sb="1" eb="3">
      <t>ガイヒ</t>
    </rPh>
    <rPh sb="3" eb="4">
      <t>トウ</t>
    </rPh>
    <rPh sb="4" eb="6">
      <t>メンセキ</t>
    </rPh>
    <rPh sb="7" eb="9">
      <t>ウチワケ</t>
    </rPh>
    <phoneticPr fontId="2"/>
  </si>
  <si>
    <r>
      <t>内訳計算シートＢ　　</t>
    </r>
    <r>
      <rPr>
        <b/>
        <sz val="14"/>
        <rFont val="HG丸ｺﾞｼｯｸM-PRO"/>
        <family val="3"/>
        <charset val="128"/>
      </rPr>
      <t>＜屋根・天井・床等＞</t>
    </r>
    <r>
      <rPr>
        <sz val="12"/>
        <rFont val="HG丸ｺﾞｼｯｸM-PRO"/>
        <family val="3"/>
        <charset val="128"/>
      </rPr>
      <t xml:space="preserve"> の外皮熱損失量と日射熱取得量</t>
    </r>
    <rPh sb="0" eb="2">
      <t>ウチワケ</t>
    </rPh>
    <rPh sb="2" eb="4">
      <t>ケイサン</t>
    </rPh>
    <rPh sb="17" eb="18">
      <t>ユカ</t>
    </rPh>
    <rPh sb="18" eb="19">
      <t>トウ</t>
    </rPh>
    <rPh sb="29" eb="31">
      <t>ニッシャ</t>
    </rPh>
    <rPh sb="31" eb="32">
      <t>ネツ</t>
    </rPh>
    <rPh sb="32" eb="34">
      <t>シュトク</t>
    </rPh>
    <rPh sb="34" eb="35">
      <t>リョウ</t>
    </rPh>
    <phoneticPr fontId="2"/>
  </si>
  <si>
    <t>2）屋根・天井・外気等に接する床（以下「屋根等」という。）の入力</t>
    <rPh sb="2" eb="4">
      <t>ヤネ</t>
    </rPh>
    <rPh sb="5" eb="7">
      <t>テンジョウ</t>
    </rPh>
    <rPh sb="8" eb="11">
      <t>ガイキトウ</t>
    </rPh>
    <rPh sb="17" eb="19">
      <t>イカ</t>
    </rPh>
    <rPh sb="20" eb="23">
      <t>ヤネトウ</t>
    </rPh>
    <rPh sb="30" eb="32">
      <t>ニュウリョク</t>
    </rPh>
    <phoneticPr fontId="2"/>
  </si>
  <si>
    <t>屋根等
面積</t>
    <rPh sb="0" eb="2">
      <t>ヤネ</t>
    </rPh>
    <rPh sb="2" eb="3">
      <t>トウ</t>
    </rPh>
    <rPh sb="4" eb="6">
      <t>メンセキ</t>
    </rPh>
    <phoneticPr fontId="2"/>
  </si>
  <si>
    <t>面積</t>
    <rPh sb="0" eb="2">
      <t>メンセキ</t>
    </rPh>
    <phoneticPr fontId="2"/>
  </si>
  <si>
    <t>屋根等他</t>
    <rPh sb="2" eb="3">
      <t>トウ</t>
    </rPh>
    <rPh sb="3" eb="4">
      <t>ホカ</t>
    </rPh>
    <phoneticPr fontId="2"/>
  </si>
  <si>
    <t>天窓</t>
    <rPh sb="0" eb="1">
      <t>テン</t>
    </rPh>
    <rPh sb="1" eb="2">
      <t>マド</t>
    </rPh>
    <phoneticPr fontId="2"/>
  </si>
  <si>
    <t>土間床等面積合計</t>
    <rPh sb="0" eb="2">
      <t>ドマ</t>
    </rPh>
    <rPh sb="2" eb="3">
      <t>ユカ</t>
    </rPh>
    <rPh sb="3" eb="4">
      <t>トウ</t>
    </rPh>
    <rPh sb="4" eb="6">
      <t>メンセキ</t>
    </rPh>
    <rPh sb="6" eb="8">
      <t>ゴウケイ</t>
    </rPh>
    <phoneticPr fontId="2"/>
  </si>
  <si>
    <t>部位
名称</t>
    <rPh sb="0" eb="2">
      <t>ブイ</t>
    </rPh>
    <rPh sb="3" eb="5">
      <t>メイショウ</t>
    </rPh>
    <phoneticPr fontId="2"/>
  </si>
  <si>
    <t>　</t>
  </si>
  <si>
    <t>冷房期
日射熱
取得量</t>
    <rPh sb="0" eb="2">
      <t>レイボウ</t>
    </rPh>
    <rPh sb="2" eb="3">
      <t>キ</t>
    </rPh>
    <rPh sb="4" eb="6">
      <t>ニッシャ</t>
    </rPh>
    <rPh sb="6" eb="7">
      <t>ネツ</t>
    </rPh>
    <rPh sb="8" eb="10">
      <t>シュトク</t>
    </rPh>
    <rPh sb="10" eb="11">
      <t>リョウ</t>
    </rPh>
    <phoneticPr fontId="2"/>
  </si>
  <si>
    <t>暖房期
日射熱
取得量</t>
    <rPh sb="0" eb="2">
      <t>ダンボウ</t>
    </rPh>
    <rPh sb="2" eb="3">
      <t>キ</t>
    </rPh>
    <phoneticPr fontId="2"/>
  </si>
  <si>
    <t>冷房期
日射熱
取得量</t>
    <rPh sb="0" eb="2">
      <t>レイボウ</t>
    </rPh>
    <rPh sb="2" eb="3">
      <t>キ</t>
    </rPh>
    <phoneticPr fontId="2"/>
  </si>
  <si>
    <t>ﾃﾞﾌｫﾙﾄ
値使用</t>
    <rPh sb="7" eb="8">
      <t>アタイ</t>
    </rPh>
    <rPh sb="8" eb="10">
      <t>シヨウ</t>
    </rPh>
    <phoneticPr fontId="2"/>
  </si>
  <si>
    <t>庇による補正計算</t>
    <rPh sb="0" eb="1">
      <t>ヒサシ</t>
    </rPh>
    <rPh sb="4" eb="6">
      <t>ホセイ</t>
    </rPh>
    <rPh sb="6" eb="8">
      <t>ケイサン</t>
    </rPh>
    <phoneticPr fontId="2"/>
  </si>
  <si>
    <t>取得日射量補正係数の算出</t>
    <rPh sb="0" eb="2">
      <t>シュトク</t>
    </rPh>
    <rPh sb="2" eb="4">
      <t>ニッシャ</t>
    </rPh>
    <rPh sb="4" eb="5">
      <t>リョウ</t>
    </rPh>
    <rPh sb="5" eb="7">
      <t>ホセイ</t>
    </rPh>
    <rPh sb="7" eb="9">
      <t>ケイスウ</t>
    </rPh>
    <rPh sb="10" eb="12">
      <t>サンシュツ</t>
    </rPh>
    <phoneticPr fontId="2"/>
  </si>
  <si>
    <t>　冷房期総日射熱取得量</t>
    <rPh sb="1" eb="3">
      <t>レイボウ</t>
    </rPh>
    <rPh sb="3" eb="4">
      <t>キ</t>
    </rPh>
    <rPh sb="4" eb="5">
      <t>ソウ</t>
    </rPh>
    <rPh sb="5" eb="7">
      <t>ニッシャ</t>
    </rPh>
    <rPh sb="7" eb="8">
      <t>ネツ</t>
    </rPh>
    <rPh sb="8" eb="10">
      <t>シュトク</t>
    </rPh>
    <rPh sb="10" eb="11">
      <t>リョウ</t>
    </rPh>
    <phoneticPr fontId="2"/>
  </si>
  <si>
    <t>　暖房期総日射熱取得量</t>
    <rPh sb="1" eb="3">
      <t>ダンボウ</t>
    </rPh>
    <rPh sb="3" eb="4">
      <t>キ</t>
    </rPh>
    <rPh sb="4" eb="5">
      <t>ソウ</t>
    </rPh>
    <rPh sb="5" eb="7">
      <t>ニッシャ</t>
    </rPh>
    <rPh sb="7" eb="8">
      <t>ネツ</t>
    </rPh>
    <rPh sb="8" eb="10">
      <t>シュトク</t>
    </rPh>
    <rPh sb="10" eb="11">
      <t>リョウ</t>
    </rPh>
    <phoneticPr fontId="2"/>
  </si>
  <si>
    <t>日射熱取得量</t>
    <rPh sb="0" eb="2">
      <t>ニッシャ</t>
    </rPh>
    <rPh sb="2" eb="3">
      <t>ネツ</t>
    </rPh>
    <rPh sb="3" eb="5">
      <t>シュトク</t>
    </rPh>
    <rPh sb="5" eb="6">
      <t>リョウ</t>
    </rPh>
    <phoneticPr fontId="2"/>
  </si>
  <si>
    <t>取得日射量補正係数(FALSEの場合)</t>
    <rPh sb="0" eb="2">
      <t>シュトク</t>
    </rPh>
    <rPh sb="2" eb="4">
      <t>ニッシャ</t>
    </rPh>
    <rPh sb="4" eb="5">
      <t>リョウ</t>
    </rPh>
    <rPh sb="5" eb="7">
      <t>ホセイ</t>
    </rPh>
    <rPh sb="7" eb="9">
      <t>ケイスウ</t>
    </rPh>
    <rPh sb="16" eb="18">
      <t>バアイ</t>
    </rPh>
    <phoneticPr fontId="2"/>
  </si>
  <si>
    <r>
      <t>内訳計算シートＡ　　</t>
    </r>
    <r>
      <rPr>
        <b/>
        <sz val="14"/>
        <rFont val="HG丸ｺﾞｼｯｸM-PRO"/>
        <family val="3"/>
        <charset val="128"/>
      </rPr>
      <t>＜北面＞</t>
    </r>
    <r>
      <rPr>
        <b/>
        <sz val="12"/>
        <rFont val="HG丸ｺﾞｼｯｸM-PRO"/>
        <family val="3"/>
        <charset val="128"/>
      </rPr>
      <t xml:space="preserve"> </t>
    </r>
    <r>
      <rPr>
        <sz val="12"/>
        <rFont val="HG丸ｺﾞｼｯｸM-PRO"/>
        <family val="3"/>
        <charset val="128"/>
      </rPr>
      <t>の外皮熱損失量と日射熱取得量</t>
    </r>
    <rPh sb="0" eb="2">
      <t>ウチワケ</t>
    </rPh>
    <rPh sb="2" eb="4">
      <t>ケイサン</t>
    </rPh>
    <rPh sb="11" eb="12">
      <t>キタ</t>
    </rPh>
    <rPh sb="12" eb="13">
      <t>メン</t>
    </rPh>
    <rPh sb="23" eb="25">
      <t>ニッシャ</t>
    </rPh>
    <rPh sb="25" eb="26">
      <t>ネツ</t>
    </rPh>
    <rPh sb="26" eb="28">
      <t>シュトク</t>
    </rPh>
    <rPh sb="28" eb="29">
      <t>リョウ</t>
    </rPh>
    <phoneticPr fontId="2"/>
  </si>
  <si>
    <r>
      <t xml:space="preserve">窓 </t>
    </r>
    <r>
      <rPr>
        <b/>
        <sz val="11"/>
        <rFont val="HG丸ｺﾞｼｯｸM-PRO"/>
        <family val="3"/>
        <charset val="128"/>
      </rPr>
      <t>＜北面＞</t>
    </r>
    <r>
      <rPr>
        <sz val="11"/>
        <rFont val="HG丸ｺﾞｼｯｸM-PRO"/>
        <family val="3"/>
        <charset val="128"/>
      </rPr>
      <t xml:space="preserve"> 各値合計</t>
    </r>
    <rPh sb="0" eb="1">
      <t>マド</t>
    </rPh>
    <rPh sb="3" eb="4">
      <t>キタ</t>
    </rPh>
    <rPh sb="4" eb="5">
      <t>メン</t>
    </rPh>
    <rPh sb="7" eb="8">
      <t>カク</t>
    </rPh>
    <rPh sb="8" eb="9">
      <t>アタイ</t>
    </rPh>
    <rPh sb="9" eb="11">
      <t>ゴウケイ</t>
    </rPh>
    <phoneticPr fontId="2"/>
  </si>
  <si>
    <r>
      <t xml:space="preserve">外壁 </t>
    </r>
    <r>
      <rPr>
        <b/>
        <sz val="11"/>
        <rFont val="HG丸ｺﾞｼｯｸM-PRO"/>
        <family val="3"/>
        <charset val="128"/>
      </rPr>
      <t>＜北面＞</t>
    </r>
    <r>
      <rPr>
        <sz val="11"/>
        <rFont val="HG丸ｺﾞｼｯｸM-PRO"/>
        <family val="3"/>
        <charset val="128"/>
      </rPr>
      <t xml:space="preserve"> 各値合計</t>
    </r>
    <rPh sb="0" eb="2">
      <t>ガイヘキ</t>
    </rPh>
    <rPh sb="4" eb="5">
      <t>キタ</t>
    </rPh>
    <phoneticPr fontId="2"/>
  </si>
  <si>
    <t>北面</t>
    <rPh sb="0" eb="1">
      <t>キタ</t>
    </rPh>
    <rPh sb="1" eb="2">
      <t>メン</t>
    </rPh>
    <phoneticPr fontId="2"/>
  </si>
  <si>
    <t>H1≦0.4</t>
    <phoneticPr fontId="2"/>
  </si>
  <si>
    <t>W≦0.9</t>
    <phoneticPr fontId="2"/>
  </si>
  <si>
    <t xml:space="preserve"> 部分に入力するか、あるいはドロップボックスから選択してください。</t>
    <rPh sb="1" eb="3">
      <t>ブブン</t>
    </rPh>
    <rPh sb="4" eb="6">
      <t>ニュウリョク</t>
    </rPh>
    <rPh sb="24" eb="26">
      <t>センタク</t>
    </rPh>
    <phoneticPr fontId="2"/>
  </si>
  <si>
    <t>黄色</t>
    <rPh sb="0" eb="2">
      <t>キイロ</t>
    </rPh>
    <phoneticPr fontId="2"/>
  </si>
  <si>
    <t>⊿R</t>
  </si>
  <si>
    <t>⊿R</t>
    <phoneticPr fontId="2"/>
  </si>
  <si>
    <t>Ui</t>
  </si>
  <si>
    <t>Ui</t>
    <phoneticPr fontId="2"/>
  </si>
  <si>
    <t>補正熱貫流率</t>
  </si>
  <si>
    <t>補正熱貫流率</t>
    <rPh sb="0" eb="2">
      <t>ホセイ</t>
    </rPh>
    <rPh sb="2" eb="3">
      <t>ネツ</t>
    </rPh>
    <rPh sb="3" eb="5">
      <t>カンリュウ</t>
    </rPh>
    <rPh sb="5" eb="6">
      <t>リツ</t>
    </rPh>
    <phoneticPr fontId="2"/>
  </si>
  <si>
    <t>基礎等熱損失合計</t>
    <rPh sb="0" eb="2">
      <t>キソ</t>
    </rPh>
    <rPh sb="2" eb="3">
      <t>トウ</t>
    </rPh>
    <rPh sb="3" eb="4">
      <t>ネツ</t>
    </rPh>
    <rPh sb="4" eb="6">
      <t>ソンシツ</t>
    </rPh>
    <rPh sb="6" eb="8">
      <t>ゴウケイ</t>
    </rPh>
    <phoneticPr fontId="2"/>
  </si>
  <si>
    <t>寸法（ｍ）</t>
    <rPh sb="0" eb="2">
      <t>スンポウ</t>
    </rPh>
    <phoneticPr fontId="2"/>
  </si>
  <si>
    <t>温度差係数</t>
    <rPh sb="0" eb="3">
      <t>オンドサ</t>
    </rPh>
    <rPh sb="3" eb="5">
      <t>ケイスウ</t>
    </rPh>
    <phoneticPr fontId="2"/>
  </si>
  <si>
    <t>　　上表は分けて入力して下さい。その際、面積は重複しないように片方のみを入力して下さい。</t>
    <rPh sb="2" eb="3">
      <t>ジョウ</t>
    </rPh>
    <rPh sb="3" eb="4">
      <t>ヒョウ</t>
    </rPh>
    <rPh sb="5" eb="6">
      <t>ワ</t>
    </rPh>
    <rPh sb="8" eb="9">
      <t>ニュウ</t>
    </rPh>
    <rPh sb="9" eb="10">
      <t>リョク</t>
    </rPh>
    <rPh sb="12" eb="13">
      <t>クダ</t>
    </rPh>
    <phoneticPr fontId="2"/>
  </si>
  <si>
    <t>外皮性能基準値</t>
    <rPh sb="0" eb="2">
      <t>ガイヒ</t>
    </rPh>
    <rPh sb="2" eb="4">
      <t>セイノウ</t>
    </rPh>
    <rPh sb="4" eb="7">
      <t>キジュンチ</t>
    </rPh>
    <phoneticPr fontId="2"/>
  </si>
  <si>
    <t>3）省エネルギー基準外皮性能適合可否結果</t>
    <phoneticPr fontId="2"/>
  </si>
  <si>
    <t>計算結果</t>
  </si>
  <si>
    <t>基準値</t>
  </si>
  <si>
    <t>判定</t>
  </si>
  <si>
    <t>日射熱
取得率
※1</t>
    <rPh sb="0" eb="2">
      <t>ニッシャ</t>
    </rPh>
    <rPh sb="2" eb="3">
      <t>ネツ</t>
    </rPh>
    <rPh sb="4" eb="6">
      <t>シュトク</t>
    </rPh>
    <rPh sb="6" eb="7">
      <t>リツ</t>
    </rPh>
    <phoneticPr fontId="2"/>
  </si>
  <si>
    <t>更新履歴</t>
    <rPh sb="0" eb="4">
      <t>コウシンリレキ</t>
    </rPh>
    <phoneticPr fontId="2"/>
  </si>
  <si>
    <t>更新内容</t>
    <rPh sb="0" eb="2">
      <t>コウシン</t>
    </rPh>
    <rPh sb="2" eb="4">
      <t>ナイヨウ</t>
    </rPh>
    <phoneticPr fontId="2"/>
  </si>
  <si>
    <t>北東面</t>
    <rPh sb="2" eb="3">
      <t>メン</t>
    </rPh>
    <phoneticPr fontId="2"/>
  </si>
  <si>
    <t>東面</t>
    <rPh sb="1" eb="2">
      <t>メン</t>
    </rPh>
    <phoneticPr fontId="2"/>
  </si>
  <si>
    <t>南東面</t>
    <rPh sb="2" eb="3">
      <t>メン</t>
    </rPh>
    <phoneticPr fontId="2"/>
  </si>
  <si>
    <t>南面</t>
    <rPh sb="1" eb="2">
      <t>メン</t>
    </rPh>
    <phoneticPr fontId="2"/>
  </si>
  <si>
    <t>南西面</t>
    <rPh sb="2" eb="3">
      <t>メン</t>
    </rPh>
    <phoneticPr fontId="2"/>
  </si>
  <si>
    <t>西面</t>
    <rPh sb="1" eb="2">
      <t>メン</t>
    </rPh>
    <phoneticPr fontId="2"/>
  </si>
  <si>
    <t>北西面</t>
    <rPh sb="2" eb="3">
      <t>メン</t>
    </rPh>
    <phoneticPr fontId="2"/>
  </si>
  <si>
    <r>
      <t>内訳計算シートＡ　　</t>
    </r>
    <r>
      <rPr>
        <b/>
        <sz val="12"/>
        <rFont val="HG丸ｺﾞｼｯｸM-PRO"/>
        <family val="3"/>
        <charset val="128"/>
      </rPr>
      <t>＜北東面＞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</si>
  <si>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内訳計算シートＡ　　</t>
    </r>
    <r>
      <rPr>
        <b/>
        <sz val="12"/>
        <rFont val="HG丸ｺﾞｼｯｸM-PRO"/>
        <family val="3"/>
        <charset val="128"/>
      </rPr>
      <t>＜東面＞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2"/>
  </si>
  <si>
    <r>
      <t>内訳計算シートＡ　　</t>
    </r>
    <r>
      <rPr>
        <b/>
        <sz val="12"/>
        <rFont val="HG丸ｺﾞｼｯｸM-PRO"/>
        <family val="3"/>
        <charset val="128"/>
      </rPr>
      <t>＜南東面＞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</si>
  <si>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内訳計算シートＡ　　</t>
    </r>
    <r>
      <rPr>
        <b/>
        <sz val="12"/>
        <rFont val="HG丸ｺﾞｼｯｸM-PRO"/>
        <family val="3"/>
        <charset val="128"/>
      </rPr>
      <t>＜南面＞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2"/>
  </si>
  <si>
    <r>
      <t>内訳計算シートＡ　　</t>
    </r>
    <r>
      <rPr>
        <b/>
        <sz val="12"/>
        <rFont val="HG丸ｺﾞｼｯｸM-PRO"/>
        <family val="3"/>
        <charset val="128"/>
      </rPr>
      <t>＜南西面＞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</si>
  <si>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内訳計算シートＡ　　</t>
    </r>
    <r>
      <rPr>
        <b/>
        <sz val="12"/>
        <rFont val="HG丸ｺﾞｼｯｸM-PRO"/>
        <family val="3"/>
        <charset val="128"/>
      </rPr>
      <t>＜西面＞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2"/>
  </si>
  <si>
    <r>
      <t>内訳計算シートＡ　　</t>
    </r>
    <r>
      <rPr>
        <b/>
        <sz val="12"/>
        <rFont val="HG丸ｺﾞｼｯｸM-PRO"/>
        <family val="3"/>
        <charset val="128"/>
      </rPr>
      <t>＜北西面＞</t>
    </r>
    <r>
      <rPr>
        <sz val="12"/>
        <rFont val="HG丸ｺﾞｼｯｸM-PRO"/>
        <family val="3"/>
        <charset val="128"/>
      </rPr>
      <t xml:space="preserve"> の外皮熱損失量と日射熱取得量</t>
    </r>
    <rPh sb="0" eb="2">
      <t>ウチワケ</t>
    </rPh>
    <rPh sb="2" eb="4">
      <t>ケイサン</t>
    </rPh>
    <rPh sb="13" eb="14">
      <t>メン</t>
    </rPh>
    <rPh sb="24" eb="26">
      <t>ニッシャ</t>
    </rPh>
    <rPh sb="26" eb="27">
      <t>ネツ</t>
    </rPh>
    <rPh sb="27" eb="29">
      <t>シュトク</t>
    </rPh>
    <rPh sb="29" eb="30">
      <t>リョウ</t>
    </rPh>
    <phoneticPr fontId="2"/>
  </si>
  <si>
    <r>
      <t xml:space="preserve">4）住宅 </t>
    </r>
    <r>
      <rPr>
        <b/>
        <sz val="11"/>
        <rFont val="HG丸ｺﾞｼｯｸM-PRO"/>
        <family val="3"/>
        <charset val="128"/>
      </rPr>
      <t>＜北面＞</t>
    </r>
    <r>
      <rPr>
        <sz val="11"/>
        <rFont val="HG丸ｺﾞｼｯｸM-PRO"/>
        <family val="3"/>
        <charset val="128"/>
      </rPr>
      <t xml:space="preserve"> 計算結果</t>
    </r>
    <rPh sb="2" eb="4">
      <t>ジュウタク</t>
    </rPh>
    <rPh sb="6" eb="7">
      <t>キタ</t>
    </rPh>
    <rPh sb="7" eb="8">
      <t>メン</t>
    </rPh>
    <rPh sb="10" eb="12">
      <t>ケイサン</t>
    </rPh>
    <rPh sb="12" eb="14">
      <t>ケッカ</t>
    </rPh>
    <phoneticPr fontId="2"/>
  </si>
  <si>
    <r>
      <t xml:space="preserve">4）住宅 </t>
    </r>
    <r>
      <rPr>
        <b/>
        <sz val="11"/>
        <rFont val="HG丸ｺﾞｼｯｸM-PRO"/>
        <family val="3"/>
        <charset val="128"/>
      </rPr>
      <t>＜北東面＞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</si>
  <si>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外壁 </t>
    </r>
    <r>
      <rPr>
        <b/>
        <sz val="11"/>
        <rFont val="HG丸ｺﾞｼｯｸM-PRO"/>
        <family val="3"/>
        <charset val="128"/>
      </rPr>
      <t>＜北東面＞</t>
    </r>
    <r>
      <rPr>
        <sz val="11"/>
        <rFont val="HG丸ｺﾞｼｯｸM-PRO"/>
        <family val="3"/>
        <charset val="128"/>
      </rPr>
      <t xml:space="preserve"> 各値合計</t>
    </r>
    <rPh sb="0" eb="2">
      <t>ガイヘキ</t>
    </rPh>
    <phoneticPr fontId="2"/>
  </si>
  <si>
    <r>
      <t xml:space="preserve">窓 </t>
    </r>
    <r>
      <rPr>
        <b/>
        <sz val="11"/>
        <rFont val="HG丸ｺﾞｼｯｸM-PRO"/>
        <family val="3"/>
        <charset val="128"/>
      </rPr>
      <t>＜北東面＞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</si>
  <si>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窓 </t>
    </r>
    <r>
      <rPr>
        <b/>
        <sz val="11"/>
        <rFont val="HG丸ｺﾞｼｯｸM-PRO"/>
        <family val="3"/>
        <charset val="128"/>
      </rPr>
      <t>＜東面＞</t>
    </r>
    <r>
      <rPr>
        <sz val="11"/>
        <rFont val="HG丸ｺﾞｼｯｸM-PRO"/>
        <family val="3"/>
        <charset val="128"/>
      </rPr>
      <t xml:space="preserve"> 各値合計</t>
    </r>
    <rPh sb="0" eb="1">
      <t>マド</t>
    </rPh>
    <rPh sb="4" eb="5">
      <t>メン</t>
    </rPh>
    <rPh sb="7" eb="8">
      <t>カク</t>
    </rPh>
    <rPh sb="8" eb="9">
      <t>アタイ</t>
    </rPh>
    <rPh sb="9" eb="11">
      <t>ゴウケイ</t>
    </rPh>
    <phoneticPr fontId="2"/>
  </si>
  <si>
    <r>
      <t xml:space="preserve">外壁 </t>
    </r>
    <r>
      <rPr>
        <b/>
        <sz val="11"/>
        <rFont val="HG丸ｺﾞｼｯｸM-PRO"/>
        <family val="3"/>
        <charset val="128"/>
      </rPr>
      <t>＜東面＞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</si>
  <si>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＜東面＞</t>
    </r>
    <r>
      <rPr>
        <sz val="11"/>
        <rFont val="HG丸ｺﾞｼｯｸM-PRO"/>
        <family val="3"/>
        <charset val="128"/>
      </rPr>
      <t xml:space="preserve"> 計算結果</t>
    </r>
    <rPh sb="2" eb="4">
      <t>ジュウタク</t>
    </rPh>
    <rPh sb="7" eb="8">
      <t>メン</t>
    </rPh>
    <rPh sb="10" eb="12">
      <t>ケイサン</t>
    </rPh>
    <rPh sb="12" eb="14">
      <t>ケッカ</t>
    </rPh>
    <phoneticPr fontId="2"/>
  </si>
  <si>
    <r>
      <t xml:space="preserve">窓 </t>
    </r>
    <r>
      <rPr>
        <b/>
        <sz val="11"/>
        <rFont val="HG丸ｺﾞｼｯｸM-PRO"/>
        <family val="3"/>
        <charset val="128"/>
      </rPr>
      <t>＜南東面＞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</si>
  <si>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外壁 </t>
    </r>
    <r>
      <rPr>
        <b/>
        <sz val="11"/>
        <rFont val="HG丸ｺﾞｼｯｸM-PRO"/>
        <family val="3"/>
        <charset val="128"/>
      </rPr>
      <t>＜南東面＞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</si>
  <si>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＜南東面＞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</si>
  <si>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窓 </t>
    </r>
    <r>
      <rPr>
        <b/>
        <sz val="11"/>
        <rFont val="HG丸ｺﾞｼｯｸM-PRO"/>
        <family val="3"/>
        <charset val="128"/>
      </rPr>
      <t>＜南面＞</t>
    </r>
    <r>
      <rPr>
        <sz val="11"/>
        <rFont val="HG丸ｺﾞｼｯｸM-PRO"/>
        <family val="3"/>
        <charset val="128"/>
      </rPr>
      <t xml:space="preserve"> 各値合計</t>
    </r>
    <rPh sb="0" eb="1">
      <t>マド</t>
    </rPh>
    <rPh sb="4" eb="5">
      <t>メン</t>
    </rPh>
    <rPh sb="7" eb="8">
      <t>カク</t>
    </rPh>
    <rPh sb="8" eb="9">
      <t>アタイ</t>
    </rPh>
    <rPh sb="9" eb="11">
      <t>ゴウケイ</t>
    </rPh>
    <phoneticPr fontId="2"/>
  </si>
  <si>
    <r>
      <t xml:space="preserve">外壁 </t>
    </r>
    <r>
      <rPr>
        <b/>
        <sz val="11"/>
        <rFont val="HG丸ｺﾞｼｯｸM-PRO"/>
        <family val="3"/>
        <charset val="128"/>
      </rPr>
      <t>＜南面＞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</si>
  <si>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＜南面＞</t>
    </r>
    <r>
      <rPr>
        <sz val="11"/>
        <rFont val="HG丸ｺﾞｼｯｸM-PRO"/>
        <family val="3"/>
        <charset val="128"/>
      </rPr>
      <t xml:space="preserve"> 計算結果</t>
    </r>
    <rPh sb="2" eb="4">
      <t>ジュウタク</t>
    </rPh>
    <rPh sb="7" eb="8">
      <t>メン</t>
    </rPh>
    <rPh sb="10" eb="12">
      <t>ケイサン</t>
    </rPh>
    <rPh sb="12" eb="14">
      <t>ケッカ</t>
    </rPh>
    <phoneticPr fontId="2"/>
  </si>
  <si>
    <r>
      <t xml:space="preserve">窓 </t>
    </r>
    <r>
      <rPr>
        <b/>
        <sz val="11"/>
        <rFont val="HG丸ｺﾞｼｯｸM-PRO"/>
        <family val="3"/>
        <charset val="128"/>
      </rPr>
      <t>＜南西面＞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</si>
  <si>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外壁 </t>
    </r>
    <r>
      <rPr>
        <b/>
        <sz val="11"/>
        <rFont val="HG丸ｺﾞｼｯｸM-PRO"/>
        <family val="3"/>
        <charset val="128"/>
      </rPr>
      <t>＜南西面＞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</si>
  <si>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＜南西面＞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</si>
  <si>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窓 </t>
    </r>
    <r>
      <rPr>
        <b/>
        <sz val="11"/>
        <rFont val="HG丸ｺﾞｼｯｸM-PRO"/>
        <family val="3"/>
        <charset val="128"/>
      </rPr>
      <t>＜西面＞</t>
    </r>
    <r>
      <rPr>
        <sz val="11"/>
        <rFont val="HG丸ｺﾞｼｯｸM-PRO"/>
        <family val="3"/>
        <charset val="128"/>
      </rPr>
      <t xml:space="preserve"> 各値合計</t>
    </r>
    <rPh sb="0" eb="1">
      <t>マド</t>
    </rPh>
    <rPh sb="4" eb="5">
      <t>メン</t>
    </rPh>
    <rPh sb="7" eb="8">
      <t>カク</t>
    </rPh>
    <rPh sb="8" eb="9">
      <t>アタイ</t>
    </rPh>
    <rPh sb="9" eb="11">
      <t>ゴウケイ</t>
    </rPh>
    <phoneticPr fontId="2"/>
  </si>
  <si>
    <r>
      <t xml:space="preserve">外壁 </t>
    </r>
    <r>
      <rPr>
        <b/>
        <sz val="11"/>
        <rFont val="HG丸ｺﾞｼｯｸM-PRO"/>
        <family val="3"/>
        <charset val="128"/>
      </rPr>
      <t>＜西面＞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</si>
  <si>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＜西面＞</t>
    </r>
    <r>
      <rPr>
        <sz val="11"/>
        <rFont val="HG丸ｺﾞｼｯｸM-PRO"/>
        <family val="3"/>
        <charset val="128"/>
      </rPr>
      <t xml:space="preserve"> 計算結果</t>
    </r>
    <rPh sb="2" eb="4">
      <t>ジュウタク</t>
    </rPh>
    <rPh sb="7" eb="8">
      <t>メン</t>
    </rPh>
    <rPh sb="10" eb="12">
      <t>ケイサン</t>
    </rPh>
    <rPh sb="12" eb="14">
      <t>ケッカ</t>
    </rPh>
    <phoneticPr fontId="2"/>
  </si>
  <si>
    <r>
      <t xml:space="preserve">窓 </t>
    </r>
    <r>
      <rPr>
        <b/>
        <sz val="11"/>
        <rFont val="HG丸ｺﾞｼｯｸM-PRO"/>
        <family val="3"/>
        <charset val="128"/>
      </rPr>
      <t>＜北西面＞</t>
    </r>
    <r>
      <rPr>
        <sz val="11"/>
        <rFont val="HG丸ｺﾞｼｯｸM-PRO"/>
        <family val="3"/>
        <charset val="128"/>
      </rPr>
      <t xml:space="preserve"> 各値合計</t>
    </r>
    <rPh sb="0" eb="1">
      <t>マド</t>
    </rPh>
    <rPh sb="5" eb="6">
      <t>メン</t>
    </rPh>
    <rPh sb="8" eb="9">
      <t>カク</t>
    </rPh>
    <rPh sb="9" eb="10">
      <t>アタイ</t>
    </rPh>
    <rPh sb="10" eb="12">
      <t>ゴウケイ</t>
    </rPh>
    <phoneticPr fontId="2"/>
  </si>
  <si>
    <r>
      <t xml:space="preserve">外壁 </t>
    </r>
    <r>
      <rPr>
        <b/>
        <sz val="11"/>
        <rFont val="HG丸ｺﾞｼｯｸM-PRO"/>
        <family val="3"/>
        <charset val="128"/>
      </rPr>
      <t>＜北西面＞</t>
    </r>
    <r>
      <rPr>
        <sz val="11"/>
        <rFont val="HG丸ｺﾞｼｯｸM-PRO"/>
        <family val="3"/>
        <charset val="128"/>
      </rPr>
      <t xml:space="preserve"> 各値合計</t>
    </r>
    <rPh sb="0" eb="2">
      <t>ガイヘキ</t>
    </rPh>
    <phoneticPr fontId="2"/>
  </si>
  <si>
    <r>
      <t xml:space="preserve">4）住宅 </t>
    </r>
    <r>
      <rPr>
        <b/>
        <sz val="11"/>
        <rFont val="HG丸ｺﾞｼｯｸM-PRO"/>
        <family val="3"/>
        <charset val="128"/>
      </rPr>
      <t>＜北西面＞</t>
    </r>
    <r>
      <rPr>
        <sz val="11"/>
        <rFont val="HG丸ｺﾞｼｯｸM-PRO"/>
        <family val="3"/>
        <charset val="128"/>
      </rPr>
      <t xml:space="preserve"> 計算結果</t>
    </r>
    <rPh sb="2" eb="4">
      <t>ジュウタク</t>
    </rPh>
    <rPh sb="8" eb="9">
      <t>メン</t>
    </rPh>
    <rPh sb="11" eb="13">
      <t>ケイサン</t>
    </rPh>
    <rPh sb="13" eb="15">
      <t>ケッカ</t>
    </rPh>
    <phoneticPr fontId="2"/>
  </si>
  <si>
    <r>
      <t xml:space="preserve">外壁 </t>
    </r>
    <r>
      <rPr>
        <b/>
        <sz val="11"/>
        <rFont val="HG丸ｺﾞｼｯｸM-PRO"/>
        <family val="3"/>
        <charset val="128"/>
      </rPr>
      <t>＜屋根・天井・床＞</t>
    </r>
    <r>
      <rPr>
        <sz val="11"/>
        <rFont val="HG丸ｺﾞｼｯｸM-PRO"/>
        <family val="3"/>
        <charset val="128"/>
      </rPr>
      <t xml:space="preserve"> 各値合計</t>
    </r>
    <rPh sb="0" eb="2">
      <t>ガイヘキ</t>
    </rPh>
    <rPh sb="10" eb="11">
      <t>ユカ</t>
    </rPh>
    <phoneticPr fontId="2"/>
  </si>
  <si>
    <r>
      <t xml:space="preserve">窓 </t>
    </r>
    <r>
      <rPr>
        <b/>
        <sz val="11"/>
        <rFont val="HG丸ｺﾞｼｯｸM-PRO"/>
        <family val="3"/>
        <charset val="128"/>
      </rPr>
      <t>＜屋根・天井＞</t>
    </r>
    <r>
      <rPr>
        <sz val="11"/>
        <rFont val="HG丸ｺﾞｼｯｸM-PRO"/>
        <family val="3"/>
        <charset val="128"/>
      </rPr>
      <t xml:space="preserve"> 各値合計</t>
    </r>
    <rPh sb="0" eb="1">
      <t>マド</t>
    </rPh>
    <rPh sb="10" eb="11">
      <t>カク</t>
    </rPh>
    <rPh sb="11" eb="12">
      <t>アタイ</t>
    </rPh>
    <rPh sb="12" eb="14">
      <t>ゴウケイ</t>
    </rPh>
    <phoneticPr fontId="2"/>
  </si>
  <si>
    <t>温度差係数</t>
    <rPh sb="0" eb="3">
      <t>オンドサ</t>
    </rPh>
    <rPh sb="3" eb="5">
      <t>ケイスウ</t>
    </rPh>
    <phoneticPr fontId="2"/>
  </si>
  <si>
    <t>方位係数</t>
    <rPh sb="0" eb="2">
      <t>ホウイ</t>
    </rPh>
    <rPh sb="2" eb="4">
      <t>ケイスウ</t>
    </rPh>
    <phoneticPr fontId="2"/>
  </si>
  <si>
    <r>
      <t xml:space="preserve">ドア </t>
    </r>
    <r>
      <rPr>
        <b/>
        <sz val="11"/>
        <rFont val="HG丸ｺﾞｼｯｸM-PRO"/>
        <family val="3"/>
        <charset val="128"/>
      </rPr>
      <t>＜北面＞</t>
    </r>
    <r>
      <rPr>
        <sz val="11"/>
        <rFont val="HG丸ｺﾞｼｯｸM-PRO"/>
        <family val="3"/>
        <charset val="128"/>
      </rPr>
      <t xml:space="preserve"> 各値合計</t>
    </r>
    <rPh sb="4" eb="5">
      <t>キタ</t>
    </rPh>
    <phoneticPr fontId="2"/>
  </si>
  <si>
    <r>
      <t xml:space="preserve">ドア </t>
    </r>
    <r>
      <rPr>
        <b/>
        <sz val="11"/>
        <rFont val="HG丸ｺﾞｼｯｸM-PRO"/>
        <family val="3"/>
        <charset val="128"/>
      </rPr>
      <t>＜北東面＞</t>
    </r>
    <r>
      <rPr>
        <sz val="11"/>
        <rFont val="HG丸ｺﾞｼｯｸM-PRO"/>
        <family val="3"/>
        <charset val="128"/>
      </rPr>
      <t xml:space="preserve"> 各値合計</t>
    </r>
    <phoneticPr fontId="2"/>
  </si>
  <si>
    <r>
      <t xml:space="preserve">ドア </t>
    </r>
    <r>
      <rPr>
        <b/>
        <sz val="11"/>
        <rFont val="HG丸ｺﾞｼｯｸM-PRO"/>
        <family val="3"/>
        <charset val="128"/>
      </rPr>
      <t>＜東面＞</t>
    </r>
    <r>
      <rPr>
        <sz val="11"/>
        <rFont val="HG丸ｺﾞｼｯｸM-PRO"/>
        <family val="3"/>
        <charset val="128"/>
      </rPr>
      <t xml:space="preserve"> 各値合計</t>
    </r>
    <phoneticPr fontId="2"/>
  </si>
  <si>
    <r>
      <t xml:space="preserve">ドア </t>
    </r>
    <r>
      <rPr>
        <b/>
        <sz val="11"/>
        <rFont val="HG丸ｺﾞｼｯｸM-PRO"/>
        <family val="3"/>
        <charset val="128"/>
      </rPr>
      <t>＜南東面＞</t>
    </r>
    <r>
      <rPr>
        <sz val="11"/>
        <rFont val="HG丸ｺﾞｼｯｸM-PRO"/>
        <family val="3"/>
        <charset val="128"/>
      </rPr>
      <t xml:space="preserve"> 各値合計</t>
    </r>
    <phoneticPr fontId="2"/>
  </si>
  <si>
    <r>
      <t xml:space="preserve">ドア </t>
    </r>
    <r>
      <rPr>
        <b/>
        <sz val="11"/>
        <rFont val="HG丸ｺﾞｼｯｸM-PRO"/>
        <family val="3"/>
        <charset val="128"/>
      </rPr>
      <t>＜南面＞</t>
    </r>
    <r>
      <rPr>
        <sz val="11"/>
        <rFont val="HG丸ｺﾞｼｯｸM-PRO"/>
        <family val="3"/>
        <charset val="128"/>
      </rPr>
      <t xml:space="preserve"> 各値合計</t>
    </r>
    <phoneticPr fontId="2"/>
  </si>
  <si>
    <r>
      <t xml:space="preserve">ドア </t>
    </r>
    <r>
      <rPr>
        <b/>
        <sz val="11"/>
        <rFont val="HG丸ｺﾞｼｯｸM-PRO"/>
        <family val="3"/>
        <charset val="128"/>
      </rPr>
      <t>＜南西面＞</t>
    </r>
    <r>
      <rPr>
        <sz val="11"/>
        <rFont val="HG丸ｺﾞｼｯｸM-PRO"/>
        <family val="3"/>
        <charset val="128"/>
      </rPr>
      <t xml:space="preserve"> 各値合計</t>
    </r>
    <phoneticPr fontId="2"/>
  </si>
  <si>
    <r>
      <t xml:space="preserve">ドア </t>
    </r>
    <r>
      <rPr>
        <b/>
        <sz val="11"/>
        <rFont val="HG丸ｺﾞｼｯｸM-PRO"/>
        <family val="3"/>
        <charset val="128"/>
      </rPr>
      <t>＜西面＞</t>
    </r>
    <r>
      <rPr>
        <sz val="11"/>
        <rFont val="HG丸ｺﾞｼｯｸM-PRO"/>
        <family val="3"/>
        <charset val="128"/>
      </rPr>
      <t xml:space="preserve"> 各値合計</t>
    </r>
    <phoneticPr fontId="2"/>
  </si>
  <si>
    <r>
      <t xml:space="preserve">ドア </t>
    </r>
    <r>
      <rPr>
        <b/>
        <sz val="11"/>
        <rFont val="HG丸ｺﾞｼｯｸM-PRO"/>
        <family val="3"/>
        <charset val="128"/>
      </rPr>
      <t>＜北西面＞</t>
    </r>
    <r>
      <rPr>
        <sz val="11"/>
        <rFont val="HG丸ｺﾞｼｯｸM-PRO"/>
        <family val="3"/>
        <charset val="128"/>
      </rPr>
      <t xml:space="preserve"> 各値合計</t>
    </r>
    <phoneticPr fontId="2"/>
  </si>
  <si>
    <t>日射の当たらない
基礎等</t>
    <rPh sb="0" eb="2">
      <t>ニッシャ</t>
    </rPh>
    <rPh sb="3" eb="4">
      <t>ア</t>
    </rPh>
    <rPh sb="9" eb="11">
      <t>キソ</t>
    </rPh>
    <rPh sb="11" eb="12">
      <t>トウ</t>
    </rPh>
    <phoneticPr fontId="2"/>
  </si>
  <si>
    <t>等級４</t>
    <rPh sb="0" eb="2">
      <t>トウキュウ</t>
    </rPh>
    <phoneticPr fontId="2"/>
  </si>
  <si>
    <t>等級３</t>
    <rPh sb="0" eb="2">
      <t>トウキュウ</t>
    </rPh>
    <phoneticPr fontId="2"/>
  </si>
  <si>
    <t>等級２</t>
    <rPh sb="0" eb="2">
      <t>トウキュウ</t>
    </rPh>
    <phoneticPr fontId="2"/>
  </si>
  <si>
    <t>ＵA</t>
    <phoneticPr fontId="2"/>
  </si>
  <si>
    <t>ηA</t>
    <phoneticPr fontId="2"/>
  </si>
  <si>
    <t>-</t>
    <phoneticPr fontId="2"/>
  </si>
  <si>
    <t>等級４</t>
    <phoneticPr fontId="2"/>
  </si>
  <si>
    <t>等級３</t>
    <phoneticPr fontId="2"/>
  </si>
  <si>
    <t>等級２</t>
    <phoneticPr fontId="2"/>
  </si>
  <si>
    <t>1）土間床等の面積の入力</t>
    <rPh sb="2" eb="4">
      <t>ドマ</t>
    </rPh>
    <rPh sb="4" eb="5">
      <t>ユカ</t>
    </rPh>
    <rPh sb="5" eb="6">
      <t>トウ</t>
    </rPh>
    <rPh sb="7" eb="9">
      <t>メンセキ</t>
    </rPh>
    <rPh sb="10" eb="12">
      <t>ニュウリョク</t>
    </rPh>
    <phoneticPr fontId="2"/>
  </si>
  <si>
    <t>※3）において温度差係数を分けて計算する場合、</t>
    <rPh sb="13" eb="14">
      <t>ワ</t>
    </rPh>
    <rPh sb="16" eb="18">
      <t>ケイサン</t>
    </rPh>
    <phoneticPr fontId="2"/>
  </si>
  <si>
    <t>2）基礎等の断面仕様の入力</t>
    <rPh sb="2" eb="5">
      <t>キソトウ</t>
    </rPh>
    <rPh sb="6" eb="8">
      <t>ダンメン</t>
    </rPh>
    <rPh sb="8" eb="10">
      <t>シヨウ</t>
    </rPh>
    <rPh sb="11" eb="13">
      <t>ニュウリョク</t>
    </rPh>
    <phoneticPr fontId="2"/>
  </si>
  <si>
    <t>3）基礎等の外周長さの入力</t>
    <rPh sb="2" eb="5">
      <t>キソトウ</t>
    </rPh>
    <rPh sb="6" eb="8">
      <t>ガイシュウ</t>
    </rPh>
    <rPh sb="8" eb="9">
      <t>ナガ</t>
    </rPh>
    <rPh sb="11" eb="13">
      <t>ニュウリョク</t>
    </rPh>
    <phoneticPr fontId="2"/>
  </si>
  <si>
    <r>
      <t xml:space="preserve">3）住宅 </t>
    </r>
    <r>
      <rPr>
        <b/>
        <sz val="11"/>
        <rFont val="HG丸ｺﾞｼｯｸM-PRO"/>
        <family val="3"/>
        <charset val="128"/>
      </rPr>
      <t>＜屋根・天井・床等＞</t>
    </r>
    <r>
      <rPr>
        <sz val="11"/>
        <rFont val="HG丸ｺﾞｼｯｸM-PRO"/>
        <family val="3"/>
        <charset val="128"/>
      </rPr>
      <t xml:space="preserve"> 計算結果</t>
    </r>
    <rPh sb="2" eb="4">
      <t>ジュウタク</t>
    </rPh>
    <rPh sb="12" eb="13">
      <t>ユカ</t>
    </rPh>
    <rPh sb="13" eb="14">
      <t>トウ</t>
    </rPh>
    <rPh sb="16" eb="18">
      <t>ケイサン</t>
    </rPh>
    <rPh sb="18" eb="20">
      <t>ケッカ</t>
    </rPh>
    <phoneticPr fontId="2"/>
  </si>
  <si>
    <t>㎡（</t>
    <phoneticPr fontId="2"/>
  </si>
  <si>
    <t>㎡、</t>
    <phoneticPr fontId="2"/>
  </si>
  <si>
    <t>屋根等</t>
    <phoneticPr fontId="2"/>
  </si>
  <si>
    <t>㎡）</t>
    <phoneticPr fontId="2"/>
  </si>
  <si>
    <t>W/K</t>
    <phoneticPr fontId="2"/>
  </si>
  <si>
    <t>除外窓
等面積</t>
    <rPh sb="0" eb="2">
      <t>ジョガイ</t>
    </rPh>
    <rPh sb="2" eb="3">
      <t>マド</t>
    </rPh>
    <rPh sb="4" eb="5">
      <t>トウ</t>
    </rPh>
    <rPh sb="5" eb="7">
      <t>メンセキ</t>
    </rPh>
    <phoneticPr fontId="2"/>
  </si>
  <si>
    <t>mc</t>
    <phoneticPr fontId="2"/>
  </si>
  <si>
    <t>mh</t>
    <phoneticPr fontId="2"/>
  </si>
  <si>
    <t>端数処理無し</t>
    <rPh sb="0" eb="2">
      <t>ハスウ</t>
    </rPh>
    <rPh sb="2" eb="4">
      <t>ショリ</t>
    </rPh>
    <rPh sb="4" eb="5">
      <t>ナ</t>
    </rPh>
    <phoneticPr fontId="2"/>
  </si>
  <si>
    <t>　外皮等面積の合計</t>
    <phoneticPr fontId="2"/>
  </si>
  <si>
    <r>
      <t>　外皮平均熱貫流率(U</t>
    </r>
    <r>
      <rPr>
        <vertAlign val="subscript"/>
        <sz val="10"/>
        <rFont val="ＭＳ Ｐゴシック"/>
        <family val="3"/>
        <charset val="128"/>
      </rPr>
      <t>A</t>
    </r>
    <r>
      <rPr>
        <sz val="10"/>
        <rFont val="ＭＳ Ｐゴシック"/>
        <family val="3"/>
        <charset val="128"/>
      </rPr>
      <t>)</t>
    </r>
    <rPh sb="1" eb="3">
      <t>ガイヒ</t>
    </rPh>
    <rPh sb="3" eb="5">
      <t>ヘイキン</t>
    </rPh>
    <rPh sb="5" eb="6">
      <t>ネツ</t>
    </rPh>
    <rPh sb="6" eb="8">
      <t>カンリュウ</t>
    </rPh>
    <rPh sb="8" eb="9">
      <t>リツ</t>
    </rPh>
    <phoneticPr fontId="2"/>
  </si>
  <si>
    <t>W/（㎡K）</t>
    <phoneticPr fontId="2"/>
  </si>
  <si>
    <r>
      <t>　冷房期の平均日射熱取得率(η</t>
    </r>
    <r>
      <rPr>
        <vertAlign val="subscript"/>
        <sz val="10"/>
        <rFont val="ＭＳ Ｐゴシック"/>
        <family val="3"/>
        <charset val="128"/>
      </rPr>
      <t>AC</t>
    </r>
    <r>
      <rPr>
        <sz val="10"/>
        <rFont val="ＭＳ Ｐゴシック"/>
        <family val="3"/>
        <charset val="128"/>
      </rPr>
      <t>)</t>
    </r>
    <phoneticPr fontId="2"/>
  </si>
  <si>
    <r>
      <t>　暖房期の平均日射熱取得率(η</t>
    </r>
    <r>
      <rPr>
        <vertAlign val="subscript"/>
        <sz val="10"/>
        <rFont val="ＭＳ Ｐゴシック"/>
        <family val="3"/>
        <charset val="128"/>
      </rPr>
      <t>AH</t>
    </r>
    <r>
      <rPr>
        <sz val="10"/>
        <rFont val="ＭＳ Ｐゴシック"/>
        <family val="3"/>
        <charset val="128"/>
      </rPr>
      <t>)</t>
    </r>
    <rPh sb="1" eb="3">
      <t>ダンボウ</t>
    </rPh>
    <phoneticPr fontId="2"/>
  </si>
  <si>
    <t>　冷房期の平均日射熱取得率</t>
    <rPh sb="3" eb="4">
      <t>キ</t>
    </rPh>
    <phoneticPr fontId="2"/>
  </si>
  <si>
    <t>‐H28年省エネルギー基準に基づく（木造戸建て住宅）‐</t>
    <rPh sb="4" eb="5">
      <t>ネン</t>
    </rPh>
    <rPh sb="5" eb="6">
      <t>ショウ</t>
    </rPh>
    <rPh sb="11" eb="13">
      <t>キジュン</t>
    </rPh>
    <rPh sb="14" eb="15">
      <t>モト</t>
    </rPh>
    <rPh sb="18" eb="20">
      <t>モクゾウ</t>
    </rPh>
    <rPh sb="20" eb="22">
      <t>コダ</t>
    </rPh>
    <rPh sb="23" eb="25">
      <t>ジュウタク</t>
    </rPh>
    <phoneticPr fontId="2"/>
  </si>
  <si>
    <t xml:space="preserve">住宅の外皮平均熱貫流率及び平均日射熱取得率（冷房期・暖房期）計算書 </t>
    <rPh sb="0" eb="2">
      <t>ジュウタク</t>
    </rPh>
    <rPh sb="5" eb="7">
      <t>ヘイキン</t>
    </rPh>
    <rPh sb="8" eb="10">
      <t>カンリュウ</t>
    </rPh>
    <rPh sb="10" eb="11">
      <t>リツ</t>
    </rPh>
    <rPh sb="11" eb="12">
      <t>オヨ</t>
    </rPh>
    <rPh sb="13" eb="15">
      <t>ヘイキン</t>
    </rPh>
    <rPh sb="15" eb="17">
      <t>ニッシャ</t>
    </rPh>
    <rPh sb="17" eb="18">
      <t>ネツ</t>
    </rPh>
    <rPh sb="18" eb="20">
      <t>シュトク</t>
    </rPh>
    <rPh sb="20" eb="21">
      <t>リツ</t>
    </rPh>
    <rPh sb="22" eb="24">
      <t>レイボウ</t>
    </rPh>
    <rPh sb="24" eb="25">
      <t>キ</t>
    </rPh>
    <rPh sb="26" eb="28">
      <t>ダンボウ</t>
    </rPh>
    <rPh sb="28" eb="29">
      <t>キ</t>
    </rPh>
    <rPh sb="30" eb="33">
      <t>ケイサンショ</t>
    </rPh>
    <phoneticPr fontId="2"/>
  </si>
  <si>
    <t>外皮熱損失量</t>
    <rPh sb="0" eb="2">
      <t>ガイヒ</t>
    </rPh>
    <rPh sb="2" eb="3">
      <t>ネツ</t>
    </rPh>
    <rPh sb="3" eb="5">
      <t>ソンシツ</t>
    </rPh>
    <rPh sb="5" eb="6">
      <t>リョウ</t>
    </rPh>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</si>
  <si>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</si>
  <si>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</si>
  <si>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</si>
  <si>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</si>
  <si>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</si>
  <si>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</si>
  <si>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</si>
  <si>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</si>
  <si>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　外皮平均熱貫流率</t>
    <phoneticPr fontId="2"/>
  </si>
  <si>
    <t>　※1　建具の仕様、ガラスの仕様および付属部材の組み合わせに応じた日射熱取得率を直接入力して下さい。</t>
    <rPh sb="4" eb="6">
      <t>タテグ</t>
    </rPh>
    <rPh sb="7" eb="9">
      <t>シヨウ</t>
    </rPh>
    <rPh sb="14" eb="16">
      <t>シヨウ</t>
    </rPh>
    <rPh sb="24" eb="25">
      <t>ク</t>
    </rPh>
    <rPh sb="26" eb="27">
      <t>ア</t>
    </rPh>
    <rPh sb="38" eb="39">
      <t>リツ</t>
    </rPh>
    <phoneticPr fontId="2"/>
  </si>
  <si>
    <t>日射熱
取得率
※1</t>
    <rPh sb="0" eb="2">
      <t>ニッシャ</t>
    </rPh>
    <rPh sb="2" eb="3">
      <t>ネツ</t>
    </rPh>
    <rPh sb="4" eb="6">
      <t>シュトク</t>
    </rPh>
    <phoneticPr fontId="2"/>
  </si>
  <si>
    <t>（１３）</t>
    <phoneticPr fontId="2"/>
  </si>
  <si>
    <t>共通条件・結果シート：２）外皮等面積の合計の関数式訂正（切り下げ→四捨五入に修正）</t>
    <phoneticPr fontId="2"/>
  </si>
  <si>
    <t>シートA（全8方位）：２）および３）合計欄のバグ修正（数値が表示されない）</t>
    <rPh sb="5" eb="6">
      <t>ゼン</t>
    </rPh>
    <rPh sb="7" eb="9">
      <t>ホウイ</t>
    </rPh>
    <rPh sb="18" eb="20">
      <t>ゴウケイ</t>
    </rPh>
    <rPh sb="20" eb="21">
      <t>ラン</t>
    </rPh>
    <rPh sb="24" eb="26">
      <t>シュウセイ</t>
    </rPh>
    <rPh sb="27" eb="29">
      <t>スウチ</t>
    </rPh>
    <rPh sb="30" eb="32">
      <t>ヒョウジ</t>
    </rPh>
    <phoneticPr fontId="2"/>
  </si>
  <si>
    <t xml:space="preserve">
はじめに（お読みください）
</t>
    <rPh sb="7" eb="8">
      <t>ヨ</t>
    </rPh>
    <phoneticPr fontId="2"/>
  </si>
  <si>
    <t xml:space="preserve">
１)
</t>
    <phoneticPr fontId="2"/>
  </si>
  <si>
    <t xml:space="preserve">　
　本エクセル計算シートの著作権は、一般社団法人住宅性能評価・表示協会に帰属します。
</t>
    <phoneticPr fontId="2"/>
  </si>
  <si>
    <t xml:space="preserve">
２)</t>
    <phoneticPr fontId="2"/>
  </si>
  <si>
    <t xml:space="preserve">
３)</t>
    <phoneticPr fontId="2"/>
  </si>
  <si>
    <t xml:space="preserve">
　本エクセル計算シートは、当協会の会員及び設計者へのサービスの一環として、無料で公開するものです。利用者は、利用者自身の自己責任において、本エクセル計算シートを利用してください。
　当協会は、事由のいかんを問わず、本エクセルシートの使用によって発生した（代用品または代用サービスの調達、使用の損失、データの損失、利益の損失、業務の中断も含め、またはそれに限定されない）直接損害、間接損害、偶発的な損害、特別損害、懲罰的損害、または結果損害について、一切の責任を負わないものとします。
</t>
    <phoneticPr fontId="2"/>
  </si>
  <si>
    <t>シート「はじめに（お読みください）」を追加</t>
    <rPh sb="19" eb="21">
      <t>ツイカ</t>
    </rPh>
    <phoneticPr fontId="2"/>
  </si>
  <si>
    <t>パスワードを設定</t>
    <rPh sb="6" eb="8">
      <t>セッテイ</t>
    </rPh>
    <phoneticPr fontId="2"/>
  </si>
  <si>
    <t xml:space="preserve">
４）</t>
    <phoneticPr fontId="2"/>
  </si>
  <si>
    <t>シート「はじめに（お読みください）」に４）を追加</t>
    <rPh sb="22" eb="24">
      <t>ツイカ</t>
    </rPh>
    <phoneticPr fontId="2"/>
  </si>
  <si>
    <t>（１１）</t>
    <phoneticPr fontId="2"/>
  </si>
  <si>
    <t>（１３）１</t>
    <phoneticPr fontId="2"/>
  </si>
  <si>
    <t>（１３）２</t>
    <phoneticPr fontId="2"/>
  </si>
  <si>
    <t>シート「Ｃ（基礎）」基礎の線熱貫流率計算式番号の修正</t>
    <rPh sb="6" eb="8">
      <t>キソ</t>
    </rPh>
    <rPh sb="10" eb="12">
      <t>キソ</t>
    </rPh>
    <rPh sb="13" eb="14">
      <t>セン</t>
    </rPh>
    <rPh sb="14" eb="15">
      <t>ネツ</t>
    </rPh>
    <rPh sb="15" eb="17">
      <t>カンリュウ</t>
    </rPh>
    <rPh sb="17" eb="18">
      <t>リツ</t>
    </rPh>
    <rPh sb="18" eb="20">
      <t>ケイサン</t>
    </rPh>
    <rPh sb="20" eb="21">
      <t>シキ</t>
    </rPh>
    <rPh sb="21" eb="23">
      <t>バンゴウ</t>
    </rPh>
    <rPh sb="24" eb="26">
      <t>シュウセイ</t>
    </rPh>
    <phoneticPr fontId="2"/>
  </si>
  <si>
    <t>ver1.5</t>
    <phoneticPr fontId="2"/>
  </si>
  <si>
    <t>ver1.4</t>
    <phoneticPr fontId="2"/>
  </si>
  <si>
    <t>ver1.3</t>
    <phoneticPr fontId="2"/>
  </si>
  <si>
    <t>ver1.2</t>
    <phoneticPr fontId="2"/>
  </si>
  <si>
    <t>シート「内訳計算シートA」：1）、2）、3）の行を追加</t>
    <rPh sb="4" eb="6">
      <t>ウチワケ</t>
    </rPh>
    <rPh sb="6" eb="8">
      <t>ケイサン</t>
    </rPh>
    <rPh sb="23" eb="24">
      <t>ギョウ</t>
    </rPh>
    <rPh sb="25" eb="27">
      <t>ツイカ</t>
    </rPh>
    <phoneticPr fontId="2"/>
  </si>
  <si>
    <t>シート「内訳計算シートA」：8地域の場合の暖房期日射熱取得率の表示を修正</t>
    <rPh sb="4" eb="6">
      <t>ウチワケ</t>
    </rPh>
    <rPh sb="6" eb="8">
      <t>ケイサン</t>
    </rPh>
    <rPh sb="15" eb="17">
      <t>チイキ</t>
    </rPh>
    <rPh sb="18" eb="20">
      <t>バアイ</t>
    </rPh>
    <rPh sb="21" eb="24">
      <t>ダンボウキ</t>
    </rPh>
    <rPh sb="24" eb="26">
      <t>ニッシャ</t>
    </rPh>
    <rPh sb="26" eb="27">
      <t>ネツ</t>
    </rPh>
    <rPh sb="27" eb="30">
      <t>シュトクリツ</t>
    </rPh>
    <rPh sb="31" eb="33">
      <t>ヒョウジ</t>
    </rPh>
    <rPh sb="34" eb="36">
      <t>シュウセイ</t>
    </rPh>
    <phoneticPr fontId="2"/>
  </si>
  <si>
    <t>シート「共通条件・結果」：「住宅の名称」、「住宅の所在地」の書式を変更</t>
    <rPh sb="4" eb="6">
      <t>キョウツウ</t>
    </rPh>
    <rPh sb="6" eb="8">
      <t>ジョウケン</t>
    </rPh>
    <rPh sb="9" eb="11">
      <t>ケッカ</t>
    </rPh>
    <rPh sb="14" eb="16">
      <t>ジュウタク</t>
    </rPh>
    <rPh sb="17" eb="19">
      <t>メイショウ</t>
    </rPh>
    <rPh sb="22" eb="24">
      <t>ジュウタク</t>
    </rPh>
    <rPh sb="25" eb="28">
      <t>ショザイチ</t>
    </rPh>
    <rPh sb="30" eb="32">
      <t>ショシキ</t>
    </rPh>
    <rPh sb="33" eb="35">
      <t>ヘンコウ</t>
    </rPh>
    <phoneticPr fontId="2"/>
  </si>
  <si>
    <t>シート「参考（部位U計算）」：記載欄の書式変更</t>
    <rPh sb="4" eb="6">
      <t>サンコウ</t>
    </rPh>
    <rPh sb="7" eb="9">
      <t>ブイ</t>
    </rPh>
    <rPh sb="10" eb="12">
      <t>ケイサン</t>
    </rPh>
    <rPh sb="15" eb="17">
      <t>キサイ</t>
    </rPh>
    <rPh sb="17" eb="18">
      <t>ラン</t>
    </rPh>
    <rPh sb="19" eb="21">
      <t>ショシキ</t>
    </rPh>
    <rPh sb="21" eb="23">
      <t>ヘンコウ</t>
    </rPh>
    <phoneticPr fontId="2"/>
  </si>
  <si>
    <t>シート「参考（部位U計算）」：行を追加</t>
    <rPh sb="4" eb="6">
      <t>サンコウ</t>
    </rPh>
    <rPh sb="7" eb="9">
      <t>ブイ</t>
    </rPh>
    <rPh sb="10" eb="12">
      <t>ケイサン</t>
    </rPh>
    <rPh sb="15" eb="16">
      <t>ギョウ</t>
    </rPh>
    <rPh sb="17" eb="19">
      <t>ツイカ</t>
    </rPh>
    <phoneticPr fontId="2"/>
  </si>
  <si>
    <t>シート「参考（部位U計算）」：ページを追加</t>
    <rPh sb="4" eb="6">
      <t>サンコウ</t>
    </rPh>
    <rPh sb="7" eb="9">
      <t>ブイ</t>
    </rPh>
    <rPh sb="10" eb="12">
      <t>ケイサン</t>
    </rPh>
    <rPh sb="19" eb="21">
      <t>ツイカ</t>
    </rPh>
    <phoneticPr fontId="2"/>
  </si>
  <si>
    <t>シート「参考（部位U計算）」：パスワードを解除</t>
    <rPh sb="4" eb="6">
      <t>サンコウ</t>
    </rPh>
    <rPh sb="7" eb="9">
      <t>ブイ</t>
    </rPh>
    <rPh sb="10" eb="12">
      <t>ケイサン</t>
    </rPh>
    <rPh sb="21" eb="23">
      <t>カイジョ</t>
    </rPh>
    <phoneticPr fontId="2"/>
  </si>
  <si>
    <t>シート「参考（部位U計算）」：本Excelから削除とし、部位U計算シート単独の公開とした。</t>
    <rPh sb="4" eb="6">
      <t>サンコウ</t>
    </rPh>
    <rPh sb="7" eb="9">
      <t>ブイ</t>
    </rPh>
    <rPh sb="10" eb="12">
      <t>ケイサン</t>
    </rPh>
    <rPh sb="15" eb="16">
      <t>ホン</t>
    </rPh>
    <rPh sb="23" eb="25">
      <t>サクジョ</t>
    </rPh>
    <rPh sb="28" eb="30">
      <t>ブイ</t>
    </rPh>
    <rPh sb="31" eb="33">
      <t>ケイサン</t>
    </rPh>
    <rPh sb="36" eb="38">
      <t>タンドク</t>
    </rPh>
    <rPh sb="39" eb="41">
      <t>コウカイ</t>
    </rPh>
    <phoneticPr fontId="2"/>
  </si>
  <si>
    <t>Ver.1.6</t>
    <phoneticPr fontId="2"/>
  </si>
  <si>
    <t>　注１：本計算シートの計算方法は、（国研）建築研究所が示す外皮性能の計算方法を遵守しています。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ジュンシュ</t>
    </rPh>
    <phoneticPr fontId="2"/>
  </si>
  <si>
    <t>　注２：内訳計算シートＡは、住宅の外壁の面する方位別のシートに入力してください。</t>
    <rPh sb="1" eb="2">
      <t>チュウ</t>
    </rPh>
    <rPh sb="4" eb="6">
      <t>ウチワケ</t>
    </rPh>
    <rPh sb="6" eb="8">
      <t>ケイサン</t>
    </rPh>
    <rPh sb="14" eb="16">
      <t>ジュウタク</t>
    </rPh>
    <rPh sb="17" eb="19">
      <t>ガイヘキ</t>
    </rPh>
    <rPh sb="20" eb="21">
      <t>メン</t>
    </rPh>
    <rPh sb="23" eb="25">
      <t>ホウイ</t>
    </rPh>
    <rPh sb="25" eb="26">
      <t>ベツ</t>
    </rPh>
    <rPh sb="31" eb="33">
      <t>ニュウリョク</t>
    </rPh>
    <phoneticPr fontId="2"/>
  </si>
  <si>
    <t>　注３：各シートの</t>
    <rPh sb="1" eb="2">
      <t>チュウ</t>
    </rPh>
    <rPh sb="4" eb="5">
      <t>カク</t>
    </rPh>
    <phoneticPr fontId="2"/>
  </si>
  <si>
    <t>　注４：各シートに入力する寸法は、メートル単位で入力して下さい。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2"/>
  </si>
  <si>
    <t>　注５：本計算シートでは計算式の誤削除を防止するため、シートを保護しています。</t>
    <rPh sb="1" eb="2">
      <t>チュウ</t>
    </rPh>
    <rPh sb="4" eb="5">
      <t>ホン</t>
    </rPh>
    <rPh sb="5" eb="7">
      <t>ケイサン</t>
    </rPh>
    <rPh sb="12" eb="14">
      <t>ケイサン</t>
    </rPh>
    <rPh sb="14" eb="15">
      <t>シキ</t>
    </rPh>
    <rPh sb="16" eb="17">
      <t>ゴ</t>
    </rPh>
    <rPh sb="17" eb="19">
      <t>サクジョ</t>
    </rPh>
    <rPh sb="20" eb="22">
      <t>ボウシ</t>
    </rPh>
    <rPh sb="31" eb="33">
      <t>ホゴ</t>
    </rPh>
    <phoneticPr fontId="2"/>
  </si>
  <si>
    <t xml:space="preserve">
　本エクセル計算シートの計算方法は、国立研究開発法人建築研究所のホームページで公開されている「建築物のエネルギー消費性能に関する技術情報」の「平成28年省エネルギー基準に準拠したエネルギー消費性能の評価に関する技術情報（住宅）」(http://www.kenken.go.jp/becc/house.html)に示される第三章第二節「外皮性能」（以下、「建築研究所公開資料」という。）に基づき、当協会が作成したものです。
　万一、技術情報と本エクセル計算シートの内容に齟齬がある場合は、建築研究所公開資料で定める内容が優先されます。
</t>
    <phoneticPr fontId="2"/>
  </si>
  <si>
    <t xml:space="preserve">　
本エクセル計算シートは、バージョンによっては開く又は保存すると、一部の機能が失われるか、正常に実行されなくなる可能性があります。
</t>
    <rPh sb="2" eb="3">
      <t>ホン</t>
    </rPh>
    <rPh sb="7" eb="9">
      <t>ケイサン</t>
    </rPh>
    <rPh sb="24" eb="25">
      <t>ヒラ</t>
    </rPh>
    <rPh sb="26" eb="27">
      <t>マタ</t>
    </rPh>
    <rPh sb="28" eb="30">
      <t>ホゾン</t>
    </rPh>
    <rPh sb="34" eb="36">
      <t>イチブ</t>
    </rPh>
    <rPh sb="37" eb="39">
      <t>キノウ</t>
    </rPh>
    <rPh sb="40" eb="41">
      <t>ウシナ</t>
    </rPh>
    <rPh sb="46" eb="48">
      <t>セイジョウ</t>
    </rPh>
    <rPh sb="49" eb="51">
      <t>ジッコウ</t>
    </rPh>
    <rPh sb="57" eb="60">
      <t>カノウセイ</t>
    </rPh>
    <phoneticPr fontId="2"/>
  </si>
  <si>
    <t>５）</t>
    <phoneticPr fontId="2"/>
  </si>
  <si>
    <t>部位U値計算シートは本ファイルに添付されていません。別途ご用意ください。</t>
    <phoneticPr fontId="2"/>
  </si>
  <si>
    <t>本バージョン Ver.1.8</t>
    <rPh sb="0" eb="1">
      <t>ホン</t>
    </rPh>
    <phoneticPr fontId="2"/>
  </si>
  <si>
    <t>Ver.1.7</t>
    <phoneticPr fontId="2"/>
  </si>
  <si>
    <t>シート「共通条件・結果」：8地域の冷房期の平均日射熱取得率基準値の変更</t>
    <phoneticPr fontId="2"/>
  </si>
  <si>
    <t>　2020/4/1</t>
    <phoneticPr fontId="2"/>
  </si>
  <si>
    <t>札幌市</t>
    <rPh sb="0" eb="3">
      <t>サッポロシ</t>
    </rPh>
    <phoneticPr fontId="2"/>
  </si>
  <si>
    <t>２地域</t>
  </si>
  <si>
    <t>WN1-1</t>
    <phoneticPr fontId="2"/>
  </si>
  <si>
    <t>WN1-2</t>
    <phoneticPr fontId="2"/>
  </si>
  <si>
    <t>WN2-1</t>
    <phoneticPr fontId="2"/>
  </si>
  <si>
    <t>WN2-2</t>
    <phoneticPr fontId="2"/>
  </si>
  <si>
    <t>WN2-3</t>
    <phoneticPr fontId="2"/>
  </si>
  <si>
    <t>WN2-4</t>
    <phoneticPr fontId="2"/>
  </si>
  <si>
    <t>DN1-1</t>
    <phoneticPr fontId="2"/>
  </si>
  <si>
    <t>WS1-1</t>
    <phoneticPr fontId="2"/>
  </si>
  <si>
    <t>WS1-2</t>
    <phoneticPr fontId="2"/>
  </si>
  <si>
    <t>WS1-3</t>
    <phoneticPr fontId="2"/>
  </si>
  <si>
    <t>WS2-1</t>
    <phoneticPr fontId="2"/>
  </si>
  <si>
    <t>WS2-2</t>
    <phoneticPr fontId="2"/>
  </si>
  <si>
    <t>WS2-3</t>
    <phoneticPr fontId="2"/>
  </si>
  <si>
    <t>WS2-4</t>
    <phoneticPr fontId="2"/>
  </si>
  <si>
    <t>WS2-5</t>
    <phoneticPr fontId="2"/>
  </si>
  <si>
    <t>WW1-1</t>
    <phoneticPr fontId="2"/>
  </si>
  <si>
    <t>EW1</t>
    <phoneticPr fontId="2"/>
  </si>
  <si>
    <t>EW1</t>
    <phoneticPr fontId="2"/>
  </si>
  <si>
    <t>C1</t>
    <phoneticPr fontId="2"/>
  </si>
  <si>
    <t>天井</t>
  </si>
  <si>
    <t>F1</t>
    <phoneticPr fontId="2"/>
  </si>
  <si>
    <t>基礎断熱</t>
  </si>
  <si>
    <t>EW2</t>
    <phoneticPr fontId="2"/>
  </si>
  <si>
    <t>BIS住宅モデル 北方型住宅2020 仕様例その2</t>
    <rPh sb="3" eb="5">
      <t>ジュウタク</t>
    </rPh>
    <rPh sb="9" eb="12">
      <t>ホッポウガタ</t>
    </rPh>
    <rPh sb="12" eb="14">
      <t>ジュウタク</t>
    </rPh>
    <rPh sb="19" eb="21">
      <t>シヨウ</t>
    </rPh>
    <rPh sb="21" eb="22">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</si>
</sst>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00_ "/>
    <numFmt numFmtId="178" formatCode="0.00_ "/>
    <numFmt numFmtId="179" formatCode="0.0_ "/>
    <numFmt numFmtId="180" formatCode="0.00;_퐀"/>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4"/>
      <name val="HG丸ｺﾞｼｯｸM-PRO"/>
      <family val="3"/>
      <charset val="128"/>
    </font>
    <font>
      <sz val="10"/>
      <name val="ＭＳ 明朝"/>
      <family val="1"/>
      <charset val="128"/>
    </font>
    <font>
      <b/>
      <sz val="14"/>
      <name val="HG丸ｺﾞｼｯｸM-PRO"/>
      <family val="3"/>
      <charset val="128"/>
    </font>
    <font>
      <sz val="9.5"/>
      <name val="ＭＳ Ｐゴシック"/>
      <family val="3"/>
      <charset val="128"/>
    </font>
    <font>
      <vertAlign val="subscript"/>
      <sz val="10"/>
      <name val="ＭＳ Ｐゴシック"/>
      <family val="3"/>
      <charset val="128"/>
    </font>
    <font>
      <sz val="9"/>
      <color indexed="81"/>
      <name val="ＭＳ Ｐゴシック"/>
      <family val="3"/>
      <charset val="128"/>
    </font>
    <font>
      <sz val="12"/>
      <color rgb="FFFF0000"/>
      <name val="HG丸ｺﾞｼｯｸM-PRO"/>
      <family val="3"/>
      <charset val="128"/>
    </font>
    <font>
      <sz val="10"/>
      <name val="ＭＳ Ｐゴシック"/>
      <family val="3"/>
      <charset val="128"/>
      <scheme val="major"/>
    </font>
    <font>
      <sz val="10"/>
      <name val="ＭＳ Ｐゴシック"/>
      <family val="3"/>
      <charset val="128"/>
      <scheme val="minor"/>
    </font>
    <font>
      <sz val="11"/>
      <name val="ＭＳ Ｐゴシック"/>
      <family val="3"/>
      <charset val="128"/>
      <scheme val="minor"/>
    </font>
    <font>
      <sz val="11"/>
      <name val="ＭＳ ゴシック"/>
      <family val="3"/>
      <charset val="128"/>
    </font>
    <font>
      <sz val="10.5"/>
      <name val="ＭＳ ゴシック"/>
      <family val="3"/>
      <charset val="128"/>
    </font>
    <font>
      <sz val="11"/>
      <color theme="1"/>
      <name val="ＭＳ ゴシック"/>
      <family val="3"/>
      <charset val="128"/>
    </font>
    <font>
      <sz val="10.5"/>
      <color theme="1"/>
      <name val="ＭＳ ゴシック"/>
      <family val="3"/>
      <charset val="128"/>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66"/>
        <bgColor indexed="64"/>
      </patternFill>
    </fill>
    <fill>
      <patternFill patternType="solid">
        <fgColor rgb="FFFFFFCC"/>
        <bgColor indexed="64"/>
      </patternFill>
    </fill>
  </fills>
  <borders count="117">
    <border>
      <left/>
      <right/>
      <top/>
      <bottom/>
      <diagonal/>
    </border>
    <border>
      <left/>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3">
    <xf numFmtId="0" fontId="0" fillId="0" borderId="0"/>
    <xf numFmtId="38" fontId="1" fillId="0" borderId="0" applyFont="0" applyFill="0" applyBorder="0" applyAlignment="0" applyProtection="0"/>
    <xf numFmtId="0" fontId="11" fillId="0" borderId="0"/>
  </cellStyleXfs>
  <cellXfs count="505">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8"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9" fillId="0" borderId="6" xfId="0" applyFont="1" applyBorder="1" applyAlignment="1">
      <alignment horizontal="right" vertical="center"/>
    </xf>
    <xf numFmtId="0" fontId="3" fillId="0" borderId="7" xfId="0" applyFont="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2" fontId="6" fillId="0" borderId="0" xfId="1" applyNumberFormat="1" applyFont="1" applyBorder="1" applyAlignment="1">
      <alignment horizontal="right" vertical="center"/>
    </xf>
    <xf numFmtId="0" fontId="9" fillId="0" borderId="0" xfId="0" applyFont="1" applyBorder="1" applyAlignment="1">
      <alignment horizontal="left" vertical="center"/>
    </xf>
    <xf numFmtId="2" fontId="0" fillId="0" borderId="0" xfId="1" applyNumberFormat="1" applyFont="1" applyBorder="1"/>
    <xf numFmtId="0" fontId="3" fillId="2" borderId="13" xfId="0" applyFont="1" applyFill="1" applyBorder="1" applyAlignment="1">
      <alignment vertical="center"/>
    </xf>
    <xf numFmtId="0" fontId="3" fillId="2" borderId="14" xfId="0" applyFont="1" applyFill="1" applyBorder="1" applyAlignment="1">
      <alignment vertical="center"/>
    </xf>
    <xf numFmtId="2" fontId="8" fillId="0" borderId="0" xfId="0" applyNumberFormat="1" applyFont="1" applyAlignment="1">
      <alignment horizontal="center" vertical="center"/>
    </xf>
    <xf numFmtId="0" fontId="0" fillId="0" borderId="0" xfId="0" applyBorder="1"/>
    <xf numFmtId="0" fontId="3" fillId="0" borderId="0" xfId="0" applyFont="1" applyAlignment="1">
      <alignment horizont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lignment vertical="center" shrinkToFit="1"/>
    </xf>
    <xf numFmtId="0" fontId="3" fillId="0" borderId="29" xfId="0" applyFont="1" applyBorder="1" applyAlignment="1">
      <alignment vertical="center" shrinkToFit="1"/>
    </xf>
    <xf numFmtId="0" fontId="3" fillId="0" borderId="29" xfId="0" applyFont="1" applyBorder="1" applyAlignment="1">
      <alignment vertical="center" wrapText="1"/>
    </xf>
    <xf numFmtId="0" fontId="3" fillId="0" borderId="0" xfId="0" applyFont="1" applyBorder="1" applyAlignment="1">
      <alignment vertical="center" wrapText="1"/>
    </xf>
    <xf numFmtId="179" fontId="3" fillId="0" borderId="0" xfId="0" applyNumberFormat="1" applyFont="1" applyAlignment="1" applyProtection="1">
      <alignment vertical="center"/>
    </xf>
    <xf numFmtId="179" fontId="3" fillId="0" borderId="0" xfId="0" applyNumberFormat="1" applyFont="1" applyAlignment="1"/>
    <xf numFmtId="0" fontId="3" fillId="0" borderId="0" xfId="0" applyFont="1" applyFill="1" applyBorder="1" applyAlignment="1">
      <alignment horizontal="center" vertical="center"/>
    </xf>
    <xf numFmtId="2" fontId="6" fillId="0" borderId="0" xfId="0" applyNumberFormat="1" applyFont="1" applyAlignment="1">
      <alignment horizontal="center" vertical="center"/>
    </xf>
    <xf numFmtId="0" fontId="0" fillId="0" borderId="0" xfId="0" applyFill="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pplyProtection="1">
      <alignment vertical="center"/>
      <protection locked="0"/>
    </xf>
    <xf numFmtId="0" fontId="3" fillId="0" borderId="0" xfId="0" applyFont="1" applyFill="1" applyBorder="1" applyAlignment="1">
      <alignment vertical="center"/>
    </xf>
    <xf numFmtId="0" fontId="3" fillId="0" borderId="5" xfId="0" applyFont="1" applyFill="1" applyBorder="1" applyAlignment="1" applyProtection="1">
      <alignment vertical="center"/>
    </xf>
    <xf numFmtId="0" fontId="9" fillId="0" borderId="6" xfId="0" applyFont="1" applyFill="1" applyBorder="1" applyAlignment="1" applyProtection="1">
      <alignment horizontal="right" vertical="center"/>
    </xf>
    <xf numFmtId="0" fontId="9" fillId="0" borderId="5" xfId="0" applyFont="1" applyFill="1" applyBorder="1" applyAlignment="1" applyProtection="1">
      <alignment vertical="center"/>
    </xf>
    <xf numFmtId="0" fontId="9" fillId="0" borderId="15"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0" xfId="0" applyFont="1" applyFill="1"/>
    <xf numFmtId="0" fontId="0" fillId="0" borderId="0" xfId="0" applyFill="1"/>
    <xf numFmtId="0" fontId="3" fillId="0" borderId="29" xfId="0" applyFont="1" applyFill="1" applyBorder="1" applyAlignment="1">
      <alignment vertical="center"/>
    </xf>
    <xf numFmtId="0" fontId="3" fillId="0" borderId="29" xfId="0" applyFont="1" applyFill="1" applyBorder="1" applyAlignment="1">
      <alignment horizontal="center" vertical="center"/>
    </xf>
    <xf numFmtId="0" fontId="8" fillId="0" borderId="29" xfId="0" applyFont="1" applyFill="1" applyBorder="1" applyAlignment="1">
      <alignment vertical="center"/>
    </xf>
    <xf numFmtId="0" fontId="8" fillId="0" borderId="0" xfId="0" applyFont="1" applyFill="1" applyBorder="1" applyAlignment="1">
      <alignment vertical="center"/>
    </xf>
    <xf numFmtId="0" fontId="0" fillId="0" borderId="0" xfId="0" applyAlignment="1">
      <alignment horizontal="center" vertical="center"/>
    </xf>
    <xf numFmtId="0" fontId="0" fillId="0" borderId="18" xfId="0" applyBorder="1" applyAlignment="1">
      <alignment horizontal="center" vertical="center"/>
    </xf>
    <xf numFmtId="176" fontId="0" fillId="0" borderId="18" xfId="0" applyNumberFormat="1" applyBorder="1" applyAlignment="1">
      <alignment horizontal="center" vertical="center"/>
    </xf>
    <xf numFmtId="0" fontId="6" fillId="0" borderId="0" xfId="1" applyNumberFormat="1" applyFont="1" applyFill="1" applyBorder="1" applyAlignment="1">
      <alignment vertical="center"/>
    </xf>
    <xf numFmtId="0" fontId="3" fillId="0" borderId="0" xfId="0" applyFont="1" applyAlignment="1">
      <alignment horizontal="center" vertical="center"/>
    </xf>
    <xf numFmtId="179" fontId="3" fillId="0" borderId="0" xfId="0" applyNumberFormat="1" applyFont="1" applyAlignment="1">
      <alignment horizontal="center" vertical="center"/>
    </xf>
    <xf numFmtId="0" fontId="3" fillId="3" borderId="51" xfId="0" applyFont="1" applyFill="1" applyBorder="1" applyAlignment="1">
      <alignment vertical="center"/>
    </xf>
    <xf numFmtId="0" fontId="6" fillId="3" borderId="9" xfId="0" applyFont="1" applyFill="1" applyBorder="1" applyAlignment="1">
      <alignment vertical="center"/>
    </xf>
    <xf numFmtId="0" fontId="6" fillId="3" borderId="37" xfId="0" applyFont="1" applyFill="1" applyBorder="1" applyAlignment="1">
      <alignment vertical="center"/>
    </xf>
    <xf numFmtId="0" fontId="8" fillId="0" borderId="0" xfId="0"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178" fontId="3" fillId="0" borderId="5" xfId="0" applyNumberFormat="1" applyFont="1" applyBorder="1" applyAlignment="1">
      <alignment vertical="center"/>
    </xf>
    <xf numFmtId="178" fontId="9" fillId="0" borderId="5" xfId="0" applyNumberFormat="1" applyFont="1" applyBorder="1" applyAlignment="1">
      <alignment vertical="center"/>
    </xf>
    <xf numFmtId="178" fontId="9" fillId="0" borderId="15" xfId="0" applyNumberFormat="1" applyFont="1" applyBorder="1" applyAlignment="1">
      <alignment vertical="center"/>
    </xf>
    <xf numFmtId="178" fontId="3" fillId="0" borderId="4" xfId="0" applyNumberFormat="1" applyFont="1" applyBorder="1" applyAlignment="1">
      <alignment vertical="center"/>
    </xf>
    <xf numFmtId="178" fontId="3" fillId="0" borderId="19" xfId="0" applyNumberFormat="1" applyFont="1" applyBorder="1" applyAlignment="1">
      <alignment vertical="center"/>
    </xf>
    <xf numFmtId="178" fontId="3" fillId="0" borderId="13" xfId="0" applyNumberFormat="1" applyFont="1" applyBorder="1" applyAlignment="1">
      <alignment vertical="center"/>
    </xf>
    <xf numFmtId="178" fontId="3" fillId="0" borderId="14" xfId="0" applyNumberFormat="1" applyFont="1" applyBorder="1" applyAlignment="1">
      <alignment vertical="center"/>
    </xf>
    <xf numFmtId="0" fontId="3" fillId="0" borderId="0" xfId="0" applyFont="1" applyAlignment="1" applyProtection="1">
      <alignment vertical="center"/>
      <protection locked="0"/>
    </xf>
    <xf numFmtId="0" fontId="3" fillId="0" borderId="18" xfId="0" applyFont="1" applyBorder="1" applyAlignment="1">
      <alignment vertical="center"/>
    </xf>
    <xf numFmtId="0" fontId="9" fillId="0" borderId="0" xfId="0" applyFont="1" applyFill="1" applyBorder="1" applyAlignment="1">
      <alignment vertical="center"/>
    </xf>
    <xf numFmtId="0" fontId="0" fillId="0" borderId="18" xfId="0" applyBorder="1" applyAlignment="1">
      <alignment horizontal="center" vertical="center"/>
    </xf>
    <xf numFmtId="0" fontId="3" fillId="0" borderId="18" xfId="0" applyFont="1" applyBorder="1" applyAlignment="1">
      <alignment horizontal="center" vertical="center"/>
    </xf>
    <xf numFmtId="0" fontId="9" fillId="0" borderId="6" xfId="0" applyFont="1" applyFill="1" applyBorder="1" applyAlignment="1">
      <alignment vertical="center"/>
    </xf>
    <xf numFmtId="0" fontId="1" fillId="2" borderId="6" xfId="1" applyNumberFormat="1" applyFont="1" applyFill="1" applyBorder="1" applyAlignment="1">
      <alignment horizontal="center" vertical="center"/>
    </xf>
    <xf numFmtId="0" fontId="1" fillId="2" borderId="17" xfId="1" applyNumberFormat="1" applyFont="1" applyFill="1" applyBorder="1" applyAlignment="1">
      <alignment horizontal="center" vertical="center"/>
    </xf>
    <xf numFmtId="14" fontId="0" fillId="0" borderId="0" xfId="0" applyNumberFormat="1"/>
    <xf numFmtId="0" fontId="20" fillId="0" borderId="0" xfId="0" applyFont="1" applyAlignment="1">
      <alignment wrapText="1"/>
    </xf>
    <xf numFmtId="0" fontId="21" fillId="0" borderId="0" xfId="0" applyFont="1" applyAlignment="1">
      <alignment horizontal="left" vertical="center" wrapText="1"/>
    </xf>
    <xf numFmtId="0" fontId="20" fillId="0" borderId="0" xfId="0" applyFont="1" applyAlignment="1">
      <alignment vertical="top" wrapText="1"/>
    </xf>
    <xf numFmtId="0" fontId="22" fillId="0" borderId="0" xfId="0" applyFont="1" applyFill="1" applyAlignment="1">
      <alignment vertical="top" wrapText="1"/>
    </xf>
    <xf numFmtId="0" fontId="23" fillId="0" borderId="0" xfId="0" applyFont="1" applyFill="1" applyAlignment="1">
      <alignment horizontal="left" vertical="center" wrapText="1"/>
    </xf>
    <xf numFmtId="0" fontId="24" fillId="0" borderId="0" xfId="0" quotePrefix="1" applyFont="1" applyFill="1" applyAlignment="1">
      <alignment horizontal="center"/>
    </xf>
    <xf numFmtId="0" fontId="24" fillId="0" borderId="0" xfId="0" applyFont="1" applyFill="1" applyAlignment="1">
      <alignment horizontal="center"/>
    </xf>
    <xf numFmtId="14" fontId="25" fillId="0" borderId="0" xfId="0" applyNumberFormat="1" applyFont="1" applyFill="1"/>
    <xf numFmtId="0" fontId="25" fillId="0" borderId="0" xfId="0" applyFont="1" applyFill="1"/>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right" vertical="center"/>
    </xf>
    <xf numFmtId="176" fontId="26" fillId="0" borderId="18" xfId="0" applyNumberFormat="1" applyFont="1" applyBorder="1" applyAlignment="1">
      <alignment horizontal="center" vertical="center"/>
    </xf>
    <xf numFmtId="0" fontId="26" fillId="0" borderId="18" xfId="0" applyFont="1" applyBorder="1" applyAlignment="1">
      <alignment horizontal="center" vertical="center"/>
    </xf>
    <xf numFmtId="14" fontId="0" fillId="0" borderId="0" xfId="0" applyNumberFormat="1" applyAlignment="1">
      <alignment horizontal="left"/>
    </xf>
    <xf numFmtId="0" fontId="20" fillId="0" borderId="0" xfId="0" applyFont="1" applyAlignment="1">
      <alignment horizontal="left" vertical="center"/>
    </xf>
    <xf numFmtId="0" fontId="3" fillId="0" borderId="18" xfId="0" applyFont="1" applyBorder="1" applyAlignment="1">
      <alignment horizontal="center" vertical="center" wrapText="1"/>
    </xf>
    <xf numFmtId="0" fontId="3" fillId="0" borderId="35"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17" fillId="0" borderId="5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0" fillId="0" borderId="18" xfId="0" applyBorder="1" applyAlignment="1">
      <alignment horizontal="center" vertical="center"/>
    </xf>
    <xf numFmtId="0" fontId="8" fillId="3" borderId="4"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1" fillId="2" borderId="13" xfId="1" applyNumberFormat="1" applyFont="1" applyFill="1" applyBorder="1" applyAlignment="1">
      <alignment horizontal="center" vertical="center"/>
    </xf>
    <xf numFmtId="0" fontId="1" fillId="2" borderId="14" xfId="1" applyNumberFormat="1" applyFont="1" applyFill="1" applyBorder="1" applyAlignment="1">
      <alignment horizontal="center" vertical="center"/>
    </xf>
    <xf numFmtId="0" fontId="6" fillId="0" borderId="7" xfId="0" applyFont="1" applyBorder="1" applyAlignment="1">
      <alignment horizontal="right" vertical="center"/>
    </xf>
    <xf numFmtId="0" fontId="6" fillId="0" borderId="13" xfId="0" applyFont="1" applyBorder="1" applyAlignment="1">
      <alignment horizontal="right" vertical="center"/>
    </xf>
    <xf numFmtId="0" fontId="16" fillId="0" borderId="3" xfId="0" applyFont="1" applyBorder="1" applyAlignment="1">
      <alignment horizontal="center" vertical="center"/>
    </xf>
    <xf numFmtId="0" fontId="16" fillId="0" borderId="30" xfId="0" applyFont="1" applyBorder="1" applyAlignment="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6" fillId="0" borderId="51" xfId="0" applyFont="1" applyBorder="1" applyAlignment="1">
      <alignment horizontal="right" vertical="center"/>
    </xf>
    <xf numFmtId="0" fontId="6" fillId="0" borderId="6" xfId="0" applyFont="1" applyBorder="1" applyAlignment="1">
      <alignment horizontal="right" vertical="center"/>
    </xf>
    <xf numFmtId="0" fontId="3" fillId="0" borderId="51" xfId="0" applyFont="1" applyBorder="1" applyAlignment="1">
      <alignment vertical="center"/>
    </xf>
    <xf numFmtId="0" fontId="3" fillId="0" borderId="6" xfId="0" applyFont="1" applyBorder="1" applyAlignment="1">
      <alignment vertical="center"/>
    </xf>
    <xf numFmtId="0" fontId="3" fillId="0" borderId="17" xfId="0" applyFont="1" applyBorder="1" applyAlignment="1">
      <alignment vertical="center"/>
    </xf>
    <xf numFmtId="0" fontId="0" fillId="0" borderId="40" xfId="0" applyBorder="1" applyAlignment="1">
      <alignment horizontal="center" vertical="center"/>
    </xf>
    <xf numFmtId="2" fontId="10" fillId="0" borderId="0" xfId="0" applyNumberFormat="1" applyFont="1" applyAlignment="1">
      <alignment horizontal="center" vertical="center"/>
    </xf>
    <xf numFmtId="0" fontId="6" fillId="0" borderId="0" xfId="0" applyFont="1" applyAlignment="1">
      <alignment horizontal="center"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19" xfId="0" applyFont="1" applyBorder="1" applyAlignment="1">
      <alignment vertical="center"/>
    </xf>
    <xf numFmtId="0" fontId="8" fillId="3" borderId="4" xfId="0" applyFont="1" applyFill="1" applyBorder="1" applyAlignment="1" applyProtection="1">
      <alignment vertical="center" shrinkToFit="1"/>
      <protection locked="0"/>
    </xf>
    <xf numFmtId="0" fontId="8" fillId="3" borderId="31" xfId="0" applyFont="1" applyFill="1" applyBorder="1" applyAlignment="1" applyProtection="1">
      <alignment vertical="center" shrinkToFit="1"/>
      <protection locked="0"/>
    </xf>
    <xf numFmtId="0" fontId="3" fillId="2" borderId="5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8" fillId="3" borderId="5" xfId="0" applyFont="1" applyFill="1" applyBorder="1" applyAlignment="1" applyProtection="1">
      <alignment vertical="center" shrinkToFit="1"/>
      <protection locked="0"/>
    </xf>
    <xf numFmtId="0" fontId="8" fillId="3" borderId="15" xfId="0" applyFont="1" applyFill="1" applyBorder="1" applyAlignment="1" applyProtection="1">
      <alignment vertical="center" shrinkToFit="1"/>
      <protection locked="0"/>
    </xf>
    <xf numFmtId="0" fontId="3" fillId="2" borderId="13" xfId="0" applyFont="1" applyFill="1" applyBorder="1" applyAlignment="1">
      <alignment horizontal="right" vertical="center"/>
    </xf>
    <xf numFmtId="0" fontId="8" fillId="3" borderId="13" xfId="0" applyFont="1" applyFill="1" applyBorder="1" applyAlignment="1" applyProtection="1">
      <alignment horizontal="center" vertical="center"/>
      <protection locked="0"/>
    </xf>
    <xf numFmtId="0" fontId="6" fillId="2" borderId="51" xfId="1" applyNumberFormat="1" applyFont="1" applyFill="1" applyBorder="1" applyAlignment="1">
      <alignment horizontal="right" vertical="center"/>
    </xf>
    <xf numFmtId="0" fontId="6" fillId="2" borderId="6" xfId="1" applyNumberFormat="1" applyFont="1" applyFill="1" applyBorder="1" applyAlignment="1">
      <alignment horizontal="right" vertical="center"/>
    </xf>
    <xf numFmtId="0" fontId="9" fillId="0" borderId="6" xfId="0" applyFont="1" applyBorder="1" applyAlignment="1">
      <alignment horizontal="left" vertical="center"/>
    </xf>
    <xf numFmtId="0" fontId="9" fillId="0" borderId="17" xfId="0" applyFont="1" applyBorder="1" applyAlignment="1">
      <alignment horizontal="left" vertical="center"/>
    </xf>
    <xf numFmtId="0" fontId="9" fillId="2" borderId="13" xfId="1" applyNumberFormat="1" applyFont="1" applyFill="1" applyBorder="1" applyAlignment="1">
      <alignment horizontal="center" vertical="center"/>
    </xf>
    <xf numFmtId="0" fontId="9" fillId="2" borderId="14" xfId="1" applyNumberFormat="1" applyFont="1" applyFill="1" applyBorder="1" applyAlignment="1">
      <alignment horizontal="center" vertical="center"/>
    </xf>
    <xf numFmtId="0" fontId="3" fillId="4" borderId="52" xfId="0" applyFont="1" applyFill="1" applyBorder="1" applyAlignment="1">
      <alignment horizontal="center" vertical="center"/>
    </xf>
    <xf numFmtId="0" fontId="3" fillId="4" borderId="31" xfId="0" applyFont="1" applyFill="1" applyBorder="1" applyAlignment="1">
      <alignment horizontal="center" vertical="center"/>
    </xf>
    <xf numFmtId="0" fontId="3" fillId="0" borderId="37" xfId="0" applyFont="1" applyBorder="1" applyAlignment="1">
      <alignment horizontal="center" vertical="center"/>
    </xf>
    <xf numFmtId="0" fontId="3" fillId="0" borderId="3" xfId="0" applyFont="1" applyBorder="1" applyAlignment="1">
      <alignment horizontal="center" vertical="center"/>
    </xf>
    <xf numFmtId="179" fontId="6" fillId="0" borderId="53" xfId="0" applyNumberFormat="1" applyFont="1" applyBorder="1" applyAlignment="1">
      <alignment horizontal="right" vertical="center"/>
    </xf>
    <xf numFmtId="179" fontId="6" fillId="0" borderId="13" xfId="0" applyNumberFormat="1" applyFont="1" applyBorder="1" applyAlignment="1">
      <alignment horizontal="righ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6" fillId="0" borderId="8" xfId="0" applyFont="1" applyBorder="1" applyAlignment="1">
      <alignment horizontal="right" vertical="center"/>
    </xf>
    <xf numFmtId="0" fontId="6" fillId="0" borderId="5" xfId="0" applyFont="1" applyBorder="1" applyAlignment="1">
      <alignment horizontal="right" vertical="center"/>
    </xf>
    <xf numFmtId="0" fontId="9" fillId="0" borderId="5" xfId="0" applyFont="1" applyBorder="1" applyAlignment="1">
      <alignment horizontal="center" vertical="center"/>
    </xf>
    <xf numFmtId="0" fontId="9" fillId="0" borderId="58" xfId="0" applyFont="1" applyBorder="1" applyAlignment="1">
      <alignment horizontal="center" vertical="center"/>
    </xf>
    <xf numFmtId="0" fontId="6" fillId="0" borderId="35" xfId="0" applyFont="1" applyBorder="1" applyAlignment="1">
      <alignment horizontal="right" vertical="center"/>
    </xf>
    <xf numFmtId="178" fontId="3" fillId="0" borderId="64" xfId="0" applyNumberFormat="1" applyFont="1" applyFill="1" applyBorder="1" applyAlignment="1" applyProtection="1">
      <alignment horizontal="center" vertical="center"/>
    </xf>
    <xf numFmtId="178" fontId="3" fillId="0" borderId="69" xfId="0" applyNumberFormat="1" applyFont="1" applyFill="1" applyBorder="1" applyAlignment="1" applyProtection="1">
      <alignment horizontal="center" vertical="center"/>
    </xf>
    <xf numFmtId="0" fontId="7" fillId="5" borderId="80" xfId="1" applyNumberFormat="1" applyFont="1" applyFill="1" applyBorder="1" applyAlignment="1" applyProtection="1">
      <alignment horizontal="center" vertical="center"/>
      <protection locked="0"/>
    </xf>
    <xf numFmtId="0" fontId="7" fillId="5" borderId="86" xfId="1" applyNumberFormat="1" applyFont="1" applyFill="1" applyBorder="1" applyAlignment="1" applyProtection="1">
      <alignment horizontal="center" vertical="center"/>
      <protection locked="0"/>
    </xf>
    <xf numFmtId="0" fontId="7" fillId="5" borderId="49" xfId="1" applyNumberFormat="1" applyFont="1" applyFill="1" applyBorder="1" applyAlignment="1" applyProtection="1">
      <alignment horizontal="center" vertical="center"/>
      <protection locked="0"/>
    </xf>
    <xf numFmtId="178" fontId="3" fillId="0" borderId="68" xfId="0" applyNumberFormat="1" applyFont="1" applyFill="1" applyBorder="1" applyAlignment="1" applyProtection="1">
      <alignment horizontal="center" vertical="center"/>
    </xf>
    <xf numFmtId="178" fontId="3" fillId="0" borderId="49" xfId="0" applyNumberFormat="1" applyFont="1" applyFill="1" applyBorder="1" applyAlignment="1" applyProtection="1">
      <alignment horizontal="center" vertical="center"/>
    </xf>
    <xf numFmtId="178" fontId="3" fillId="0" borderId="109" xfId="0" applyNumberFormat="1" applyFont="1" applyFill="1" applyBorder="1" applyAlignment="1" applyProtection="1">
      <alignment horizontal="center" vertical="center"/>
    </xf>
    <xf numFmtId="0" fontId="7" fillId="3" borderId="41" xfId="0" applyFont="1" applyFill="1" applyBorder="1" applyAlignment="1" applyProtection="1">
      <alignment horizontal="left" vertical="center" shrinkToFit="1"/>
      <protection locked="0"/>
    </xf>
    <xf numFmtId="0" fontId="7" fillId="3" borderId="50" xfId="0" applyFont="1" applyFill="1" applyBorder="1" applyAlignment="1" applyProtection="1">
      <alignment horizontal="left" vertical="center" shrinkToFit="1"/>
      <protection locked="0"/>
    </xf>
    <xf numFmtId="0" fontId="7" fillId="3" borderId="48" xfId="0" applyFont="1" applyFill="1" applyBorder="1" applyAlignment="1" applyProtection="1">
      <alignment horizontal="left" vertical="center" shrinkToFit="1"/>
      <protection locked="0"/>
    </xf>
    <xf numFmtId="0" fontId="8" fillId="3" borderId="49" xfId="0" applyFont="1" applyFill="1" applyBorder="1" applyAlignment="1" applyProtection="1">
      <alignment horizontal="left" vertical="center" shrinkToFit="1"/>
      <protection locked="0"/>
    </xf>
    <xf numFmtId="0" fontId="7" fillId="3" borderId="87" xfId="0" applyFont="1" applyFill="1" applyBorder="1" applyAlignment="1" applyProtection="1">
      <alignment horizontal="center" vertical="center" shrinkToFit="1"/>
      <protection locked="0"/>
    </xf>
    <xf numFmtId="0" fontId="7" fillId="3" borderId="84" xfId="0" applyFont="1" applyFill="1" applyBorder="1" applyAlignment="1" applyProtection="1">
      <alignment horizontal="center" vertical="center" shrinkToFit="1"/>
      <protection locked="0"/>
    </xf>
    <xf numFmtId="0" fontId="7" fillId="3" borderId="85" xfId="0" applyFont="1" applyFill="1" applyBorder="1" applyAlignment="1" applyProtection="1">
      <alignment horizontal="center" vertical="center" shrinkToFit="1"/>
      <protection locked="0"/>
    </xf>
    <xf numFmtId="0" fontId="7" fillId="3" borderId="64" xfId="0" applyFont="1" applyFill="1" applyBorder="1" applyAlignment="1" applyProtection="1">
      <alignment horizontal="center" vertical="center" shrinkToFit="1"/>
      <protection locked="0"/>
    </xf>
    <xf numFmtId="0" fontId="7" fillId="3" borderId="74" xfId="0" applyFont="1" applyFill="1" applyBorder="1" applyAlignment="1" applyProtection="1">
      <alignment horizontal="center" vertical="center" shrinkToFit="1"/>
      <protection locked="0"/>
    </xf>
    <xf numFmtId="0" fontId="7" fillId="3" borderId="75" xfId="0" applyFont="1" applyFill="1" applyBorder="1" applyAlignment="1" applyProtection="1">
      <alignment horizontal="center" vertical="center" shrinkToFit="1"/>
      <protection locked="0"/>
    </xf>
    <xf numFmtId="0" fontId="3" fillId="0" borderId="51"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7" fillId="3" borderId="62" xfId="0" applyFont="1" applyFill="1" applyBorder="1" applyAlignment="1" applyProtection="1">
      <alignment horizontal="left" vertical="center" shrinkToFit="1"/>
      <protection locked="0"/>
    </xf>
    <xf numFmtId="0" fontId="7" fillId="3" borderId="44" xfId="0" applyFont="1" applyFill="1" applyBorder="1" applyAlignment="1" applyProtection="1">
      <alignment horizontal="left" vertical="center" shrinkToFit="1"/>
      <protection locked="0"/>
    </xf>
    <xf numFmtId="0" fontId="7" fillId="3" borderId="63" xfId="0" applyFont="1" applyFill="1" applyBorder="1" applyAlignment="1" applyProtection="1">
      <alignment horizontal="left" vertical="center" shrinkToFit="1"/>
      <protection locked="0"/>
    </xf>
    <xf numFmtId="0" fontId="7" fillId="3" borderId="47" xfId="0" applyFont="1" applyFill="1" applyBorder="1" applyAlignment="1" applyProtection="1">
      <alignment horizontal="left" vertical="center" shrinkToFit="1"/>
      <protection locked="0"/>
    </xf>
    <xf numFmtId="0" fontId="7" fillId="3" borderId="64" xfId="0" applyFont="1" applyFill="1" applyBorder="1" applyAlignment="1" applyProtection="1">
      <alignment horizontal="center" vertical="center"/>
      <protection locked="0"/>
    </xf>
    <xf numFmtId="0" fontId="7" fillId="3" borderId="114" xfId="0" applyFont="1" applyFill="1" applyBorder="1" applyAlignment="1" applyProtection="1">
      <alignment horizontal="left" vertical="center" shrinkToFit="1"/>
      <protection locked="0"/>
    </xf>
    <xf numFmtId="0" fontId="7" fillId="3" borderId="49" xfId="0" applyFont="1" applyFill="1" applyBorder="1" applyAlignment="1" applyProtection="1">
      <alignment horizontal="left" vertical="center" shrinkToFit="1"/>
      <protection locked="0"/>
    </xf>
    <xf numFmtId="0" fontId="7" fillId="5" borderId="68" xfId="1" applyNumberFormat="1" applyFont="1" applyFill="1" applyBorder="1" applyAlignment="1" applyProtection="1">
      <alignment horizontal="center" vertical="center"/>
      <protection locked="0"/>
    </xf>
    <xf numFmtId="0" fontId="7" fillId="3" borderId="68" xfId="0" applyFont="1" applyFill="1" applyBorder="1" applyAlignment="1" applyProtection="1">
      <alignment horizontal="center" vertical="center" shrinkToFit="1"/>
      <protection locked="0"/>
    </xf>
    <xf numFmtId="0" fontId="7" fillId="3" borderId="86" xfId="0" applyFont="1" applyFill="1" applyBorder="1" applyAlignment="1" applyProtection="1">
      <alignment horizontal="center" vertical="center" shrinkToFit="1"/>
      <protection locked="0"/>
    </xf>
    <xf numFmtId="0" fontId="7" fillId="3" borderId="80" xfId="0" applyFont="1" applyFill="1" applyBorder="1" applyAlignment="1" applyProtection="1">
      <alignment horizontal="center" vertical="center" shrinkToFit="1"/>
      <protection locked="0"/>
    </xf>
    <xf numFmtId="0" fontId="7" fillId="3" borderId="49" xfId="0" applyFont="1" applyFill="1" applyBorder="1" applyAlignment="1" applyProtection="1">
      <alignment horizontal="center" vertical="center" shrinkToFit="1"/>
      <protection locked="0"/>
    </xf>
    <xf numFmtId="0" fontId="7" fillId="3" borderId="68"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86" xfId="0" applyFont="1" applyFill="1" applyBorder="1" applyAlignment="1" applyProtection="1">
      <alignment horizontal="center" vertical="center"/>
    </xf>
    <xf numFmtId="2" fontId="6" fillId="0" borderId="0" xfId="0" applyNumberFormat="1" applyFont="1" applyFill="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177" fontId="3" fillId="0" borderId="23" xfId="0" applyNumberFormat="1" applyFont="1" applyFill="1" applyBorder="1" applyAlignment="1" applyProtection="1">
      <alignment horizontal="center" vertical="center"/>
    </xf>
    <xf numFmtId="177" fontId="3" fillId="0" borderId="24" xfId="0" applyNumberFormat="1" applyFont="1" applyFill="1" applyBorder="1" applyAlignment="1" applyProtection="1">
      <alignment horizontal="center" vertical="center"/>
    </xf>
    <xf numFmtId="0" fontId="3" fillId="0" borderId="9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20" xfId="0" applyFont="1" applyFill="1" applyBorder="1" applyAlignment="1">
      <alignment horizontal="center" vertical="center"/>
    </xf>
    <xf numFmtId="38" fontId="3" fillId="0" borderId="94" xfId="1" applyFont="1" applyFill="1" applyBorder="1" applyAlignment="1">
      <alignment horizontal="center" vertical="center"/>
    </xf>
    <xf numFmtId="38" fontId="3" fillId="0" borderId="95" xfId="1" applyFont="1" applyFill="1" applyBorder="1" applyAlignment="1">
      <alignment horizontal="center" vertical="center"/>
    </xf>
    <xf numFmtId="38" fontId="3" fillId="0" borderId="38" xfId="1" applyFont="1" applyFill="1" applyBorder="1" applyAlignment="1">
      <alignment horizontal="center" vertical="center"/>
    </xf>
    <xf numFmtId="38" fontId="3" fillId="0" borderId="96" xfId="1" applyFont="1" applyFill="1" applyBorder="1" applyAlignment="1">
      <alignment horizontal="center" vertical="center"/>
    </xf>
    <xf numFmtId="0" fontId="3" fillId="0" borderId="97"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100"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35"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Alignment="1">
      <alignment horizontal="center" vertical="center"/>
    </xf>
    <xf numFmtId="0" fontId="3" fillId="3" borderId="32"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0" borderId="38"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178" fontId="3" fillId="0" borderId="16" xfId="0" applyNumberFormat="1" applyFont="1" applyFill="1" applyBorder="1" applyAlignment="1" applyProtection="1">
      <alignment horizontal="center" vertical="center"/>
    </xf>
    <xf numFmtId="0" fontId="7" fillId="5" borderId="32" xfId="1" applyNumberFormat="1" applyFont="1" applyFill="1" applyBorder="1" applyAlignment="1" applyProtection="1">
      <alignment horizontal="center" vertical="center"/>
      <protection locked="0"/>
    </xf>
    <xf numFmtId="0" fontId="7" fillId="5" borderId="42" xfId="1" applyNumberFormat="1" applyFont="1" applyFill="1" applyBorder="1" applyAlignment="1" applyProtection="1">
      <alignment horizontal="center" vertical="center"/>
      <protection locked="0"/>
    </xf>
    <xf numFmtId="0" fontId="7" fillId="5" borderId="77" xfId="1" applyNumberFormat="1" applyFont="1" applyFill="1" applyBorder="1" applyAlignment="1" applyProtection="1">
      <alignment horizontal="center" vertical="center"/>
      <protection locked="0"/>
    </xf>
    <xf numFmtId="0" fontId="7" fillId="5" borderId="88" xfId="1" applyNumberFormat="1" applyFont="1" applyFill="1" applyBorder="1" applyAlignment="1" applyProtection="1">
      <alignment horizontal="center" vertical="center"/>
      <protection locked="0"/>
    </xf>
    <xf numFmtId="0" fontId="7" fillId="5" borderId="50" xfId="1" applyNumberFormat="1" applyFont="1" applyFill="1" applyBorder="1" applyAlignment="1" applyProtection="1">
      <alignment horizontal="center" vertical="center"/>
      <protection locked="0"/>
    </xf>
    <xf numFmtId="178" fontId="3" fillId="0" borderId="73" xfId="0" applyNumberFormat="1" applyFont="1" applyFill="1" applyBorder="1" applyAlignment="1" applyProtection="1">
      <alignment horizontal="center" vertical="center"/>
    </xf>
    <xf numFmtId="0" fontId="8" fillId="3" borderId="50" xfId="0" applyFont="1" applyFill="1" applyBorder="1" applyAlignment="1" applyProtection="1">
      <alignment horizontal="left" vertical="center" shrinkToFit="1"/>
      <protection locked="0"/>
    </xf>
    <xf numFmtId="0" fontId="7" fillId="3" borderId="88" xfId="0" applyFont="1" applyFill="1" applyBorder="1" applyAlignment="1" applyProtection="1">
      <alignment horizontal="center" vertical="center" shrinkToFit="1"/>
      <protection locked="0"/>
    </xf>
    <xf numFmtId="0" fontId="7" fillId="3" borderId="76" xfId="0" applyFont="1" applyFill="1" applyBorder="1" applyAlignment="1" applyProtection="1">
      <alignment horizontal="center" vertical="center" shrinkToFit="1"/>
      <protection locked="0"/>
    </xf>
    <xf numFmtId="0" fontId="7" fillId="3" borderId="77" xfId="0" applyFont="1" applyFill="1" applyBorder="1" applyAlignment="1" applyProtection="1">
      <alignment horizontal="center" vertical="center" shrinkToFit="1"/>
      <protection locked="0"/>
    </xf>
    <xf numFmtId="0" fontId="7" fillId="3" borderId="32" xfId="0" applyFont="1" applyFill="1" applyBorder="1" applyAlignment="1" applyProtection="1">
      <alignment horizontal="center" vertical="center" shrinkToFit="1"/>
      <protection locked="0"/>
    </xf>
    <xf numFmtId="0" fontId="7" fillId="3" borderId="39" xfId="0" applyFont="1" applyFill="1" applyBorder="1" applyAlignment="1" applyProtection="1">
      <alignment horizontal="center" vertical="center"/>
      <protection locked="0"/>
    </xf>
    <xf numFmtId="0" fontId="7" fillId="5" borderId="64" xfId="1" applyNumberFormat="1" applyFont="1" applyFill="1" applyBorder="1" applyAlignment="1" applyProtection="1">
      <alignment horizontal="center" vertical="center"/>
      <protection locked="0"/>
    </xf>
    <xf numFmtId="0" fontId="7" fillId="5" borderId="85" xfId="1" applyNumberFormat="1" applyFont="1" applyFill="1" applyBorder="1" applyAlignment="1" applyProtection="1">
      <alignment horizontal="center" vertical="center"/>
      <protection locked="0"/>
    </xf>
    <xf numFmtId="0" fontId="7" fillId="5" borderId="87" xfId="1" applyNumberFormat="1"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xf>
    <xf numFmtId="0" fontId="3" fillId="3" borderId="81" xfId="0" applyFont="1" applyFill="1" applyBorder="1" applyAlignment="1" applyProtection="1">
      <alignment horizontal="center" vertical="center"/>
    </xf>
    <xf numFmtId="0" fontId="7" fillId="5" borderId="33" xfId="1" applyNumberFormat="1" applyFont="1" applyFill="1" applyBorder="1" applyAlignment="1" applyProtection="1">
      <alignment horizontal="center" vertical="center"/>
      <protection locked="0"/>
    </xf>
    <xf numFmtId="0" fontId="7" fillId="5" borderId="45" xfId="1" applyNumberFormat="1" applyFont="1" applyFill="1" applyBorder="1" applyAlignment="1" applyProtection="1">
      <alignment horizontal="center" vertical="center"/>
      <protection locked="0"/>
    </xf>
    <xf numFmtId="0" fontId="7" fillId="5" borderId="75" xfId="1" applyNumberFormat="1" applyFont="1" applyFill="1" applyBorder="1" applyAlignment="1" applyProtection="1">
      <alignment horizontal="center" vertical="center"/>
      <protection locked="0"/>
    </xf>
    <xf numFmtId="0" fontId="7" fillId="5" borderId="78" xfId="1" applyNumberFormat="1" applyFont="1" applyFill="1" applyBorder="1" applyAlignment="1" applyProtection="1">
      <alignment horizontal="center" vertical="center"/>
      <protection locked="0"/>
    </xf>
    <xf numFmtId="0" fontId="7" fillId="5" borderId="47" xfId="1" applyNumberFormat="1"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shrinkToFit="1"/>
      <protection locked="0"/>
    </xf>
    <xf numFmtId="38" fontId="3" fillId="0" borderId="20" xfId="1" applyFont="1" applyFill="1" applyBorder="1" applyAlignment="1">
      <alignment horizontal="center" vertical="center"/>
    </xf>
    <xf numFmtId="38" fontId="3" fillId="0" borderId="53" xfId="1" applyFont="1" applyFill="1" applyBorder="1" applyAlignment="1">
      <alignment horizontal="center" vertical="center"/>
    </xf>
    <xf numFmtId="0" fontId="3" fillId="0" borderId="79" xfId="0" applyFont="1" applyFill="1" applyBorder="1" applyAlignment="1">
      <alignment horizontal="center" vertical="center"/>
    </xf>
    <xf numFmtId="178" fontId="3" fillId="0" borderId="39" xfId="0" applyNumberFormat="1" applyFont="1" applyFill="1" applyBorder="1" applyAlignment="1" applyProtection="1">
      <alignment horizontal="center" vertical="center"/>
    </xf>
    <xf numFmtId="178" fontId="3" fillId="0" borderId="70" xfId="0" applyNumberFormat="1" applyFont="1" applyFill="1" applyBorder="1" applyAlignment="1" applyProtection="1">
      <alignment horizontal="center" vertical="center"/>
    </xf>
    <xf numFmtId="0" fontId="8" fillId="0" borderId="25" xfId="0" applyFont="1" applyFill="1" applyBorder="1" applyAlignment="1">
      <alignment horizontal="center" vertical="center"/>
    </xf>
    <xf numFmtId="0" fontId="8" fillId="0" borderId="23" xfId="0" applyFont="1" applyFill="1" applyBorder="1" applyAlignment="1">
      <alignment horizontal="center" vertical="center"/>
    </xf>
    <xf numFmtId="178" fontId="3" fillId="0" borderId="71" xfId="0" applyNumberFormat="1" applyFont="1" applyFill="1" applyBorder="1" applyAlignment="1" applyProtection="1">
      <alignment horizontal="center" vertical="center"/>
    </xf>
    <xf numFmtId="178" fontId="3" fillId="0" borderId="72" xfId="0" applyNumberFormat="1" applyFont="1" applyFill="1" applyBorder="1" applyAlignment="1" applyProtection="1">
      <alignment horizontal="center" vertical="center"/>
    </xf>
    <xf numFmtId="0" fontId="8" fillId="3" borderId="47" xfId="0" applyFont="1" applyFill="1" applyBorder="1" applyAlignment="1" applyProtection="1">
      <alignment horizontal="left" vertical="center" shrinkToFit="1"/>
      <protection locked="0"/>
    </xf>
    <xf numFmtId="0" fontId="7" fillId="3" borderId="78" xfId="0" applyFont="1" applyFill="1" applyBorder="1" applyAlignment="1" applyProtection="1">
      <alignment horizontal="center" vertical="center" shrinkToFit="1"/>
      <protection locked="0"/>
    </xf>
    <xf numFmtId="0" fontId="4" fillId="0" borderId="51"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29"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37"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3" fillId="0" borderId="9"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vertical="center"/>
    </xf>
    <xf numFmtId="178" fontId="3" fillId="0" borderId="4" xfId="0" applyNumberFormat="1" applyFont="1" applyFill="1" applyBorder="1" applyAlignment="1" applyProtection="1">
      <alignment horizontal="center" vertical="center"/>
    </xf>
    <xf numFmtId="178" fontId="3" fillId="0" borderId="5" xfId="0" applyNumberFormat="1" applyFont="1" applyFill="1" applyBorder="1" applyAlignment="1" applyProtection="1">
      <alignment horizontal="center" vertical="center"/>
    </xf>
    <xf numFmtId="0" fontId="24" fillId="0" borderId="5" xfId="0" applyNumberFormat="1" applyFont="1" applyFill="1" applyBorder="1" applyAlignment="1" applyProtection="1">
      <alignment horizontal="center" vertical="center" shrinkToFit="1"/>
    </xf>
    <xf numFmtId="0" fontId="3" fillId="0" borderId="5" xfId="0" applyNumberFormat="1" applyFont="1" applyFill="1" applyBorder="1" applyAlignment="1" applyProtection="1">
      <alignment vertical="center" shrinkToFit="1"/>
    </xf>
    <xf numFmtId="0" fontId="3" fillId="0" borderId="5" xfId="0" applyNumberFormat="1" applyFont="1" applyFill="1" applyBorder="1" applyAlignment="1" applyProtection="1">
      <alignment horizontal="center" vertical="center" shrinkToFit="1"/>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15"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178" fontId="3" fillId="0" borderId="13" xfId="0" applyNumberFormat="1" applyFont="1" applyFill="1" applyBorder="1" applyAlignment="1" applyProtection="1">
      <alignment horizontal="center" vertical="center"/>
    </xf>
    <xf numFmtId="0" fontId="8" fillId="0" borderId="61" xfId="0" applyFont="1" applyFill="1" applyBorder="1" applyAlignment="1">
      <alignment horizontal="center" vertical="center"/>
    </xf>
    <xf numFmtId="180" fontId="3" fillId="0" borderId="68" xfId="0" applyNumberFormat="1" applyFont="1" applyFill="1" applyBorder="1" applyAlignment="1" applyProtection="1">
      <alignment horizontal="center" vertical="center"/>
    </xf>
    <xf numFmtId="180" fontId="3" fillId="0" borderId="49" xfId="0" applyNumberFormat="1" applyFont="1" applyFill="1" applyBorder="1" applyAlignment="1" applyProtection="1">
      <alignment horizontal="center" vertical="center"/>
    </xf>
    <xf numFmtId="0" fontId="7" fillId="3" borderId="64" xfId="0" applyFont="1" applyFill="1" applyBorder="1" applyAlignment="1" applyProtection="1">
      <alignment horizontal="center" vertical="center" shrinkToFit="1"/>
    </xf>
    <xf numFmtId="0" fontId="7" fillId="3" borderId="42" xfId="0"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180" fontId="3" fillId="0" borderId="42" xfId="0" applyNumberFormat="1" applyFont="1" applyFill="1" applyBorder="1" applyAlignment="1" applyProtection="1">
      <alignment horizontal="center" vertical="center"/>
    </xf>
    <xf numFmtId="180" fontId="3" fillId="0" borderId="50" xfId="0" applyNumberFormat="1" applyFont="1" applyFill="1" applyBorder="1" applyAlignment="1" applyProtection="1">
      <alignment horizontal="center" vertical="center"/>
    </xf>
    <xf numFmtId="0" fontId="7" fillId="3" borderId="32" xfId="0" applyFont="1" applyFill="1" applyBorder="1" applyAlignment="1" applyProtection="1">
      <alignment horizontal="center" vertical="center" shrinkToFit="1"/>
    </xf>
    <xf numFmtId="178" fontId="3" fillId="0" borderId="32" xfId="0" applyNumberFormat="1" applyFont="1" applyFill="1" applyBorder="1" applyAlignment="1" applyProtection="1">
      <alignment horizontal="center" vertical="center"/>
    </xf>
    <xf numFmtId="178" fontId="3" fillId="0" borderId="42" xfId="0" applyNumberFormat="1" applyFont="1" applyFill="1" applyBorder="1" applyAlignment="1" applyProtection="1">
      <alignment horizontal="center" vertical="center"/>
    </xf>
    <xf numFmtId="178" fontId="3" fillId="0" borderId="50" xfId="0" applyNumberFormat="1" applyFont="1" applyFill="1" applyBorder="1" applyAlignment="1" applyProtection="1">
      <alignment horizontal="center" vertical="center"/>
    </xf>
    <xf numFmtId="178" fontId="3" fillId="0" borderId="43" xfId="0" applyNumberFormat="1" applyFont="1" applyFill="1" applyBorder="1" applyAlignment="1" applyProtection="1">
      <alignment horizontal="center" vertical="center"/>
    </xf>
    <xf numFmtId="0" fontId="13" fillId="0" borderId="65"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4" xfId="0" applyFont="1" applyFill="1" applyBorder="1" applyAlignment="1">
      <alignment horizontal="center" vertical="center"/>
    </xf>
    <xf numFmtId="0" fontId="13" fillId="0" borderId="20" xfId="0" applyFont="1" applyFill="1" applyBorder="1" applyAlignment="1">
      <alignment horizontal="center" vertical="center"/>
    </xf>
    <xf numFmtId="178" fontId="3" fillId="0" borderId="33" xfId="0" applyNumberFormat="1" applyFont="1" applyFill="1" applyBorder="1" applyAlignment="1" applyProtection="1">
      <alignment horizontal="center" vertical="center"/>
    </xf>
    <xf numFmtId="178" fontId="3" fillId="0" borderId="46" xfId="0" applyNumberFormat="1" applyFont="1" applyFill="1" applyBorder="1" applyAlignment="1" applyProtection="1">
      <alignment horizontal="center" vertical="center"/>
    </xf>
    <xf numFmtId="0" fontId="7" fillId="3" borderId="32"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shrinkToFit="1"/>
      <protection locked="0"/>
    </xf>
    <xf numFmtId="0" fontId="7" fillId="3" borderId="47" xfId="0" applyFont="1" applyFill="1" applyBorder="1" applyAlignment="1" applyProtection="1">
      <alignment horizontal="center" vertical="center" shrinkToFit="1"/>
      <protection locked="0"/>
    </xf>
    <xf numFmtId="0" fontId="9" fillId="0" borderId="65"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7" fillId="3" borderId="39" xfId="0" applyFont="1" applyFill="1" applyBorder="1" applyAlignment="1" applyProtection="1">
      <alignment horizontal="center" vertical="center" shrinkToFit="1"/>
    </xf>
    <xf numFmtId="178" fontId="3" fillId="0" borderId="66" xfId="0" applyNumberFormat="1" applyFont="1" applyFill="1" applyBorder="1" applyAlignment="1" applyProtection="1">
      <alignment horizontal="center" vertical="center"/>
    </xf>
    <xf numFmtId="178" fontId="3" fillId="0" borderId="67" xfId="0" applyNumberFormat="1" applyFont="1" applyFill="1" applyBorder="1" applyAlignment="1" applyProtection="1">
      <alignment horizontal="center" vertical="center"/>
    </xf>
    <xf numFmtId="180" fontId="3" fillId="0" borderId="45" xfId="0" applyNumberFormat="1" applyFont="1" applyFill="1" applyBorder="1" applyAlignment="1" applyProtection="1">
      <alignment horizontal="center" vertical="center"/>
    </xf>
    <xf numFmtId="180" fontId="3" fillId="0" borderId="47" xfId="0" applyNumberFormat="1" applyFont="1" applyFill="1" applyBorder="1" applyAlignment="1" applyProtection="1">
      <alignment horizontal="center" vertical="center"/>
    </xf>
    <xf numFmtId="0" fontId="7" fillId="3" borderId="39" xfId="0" applyFont="1" applyFill="1" applyBorder="1" applyAlignment="1" applyProtection="1">
      <alignment horizontal="center" vertical="center" shrinkToFit="1"/>
      <protection locked="0"/>
    </xf>
    <xf numFmtId="178" fontId="3" fillId="0" borderId="102" xfId="0" applyNumberFormat="1" applyFont="1" applyFill="1" applyBorder="1" applyAlignment="1" applyProtection="1">
      <alignment horizontal="center" vertical="center"/>
    </xf>
    <xf numFmtId="178" fontId="3" fillId="0" borderId="112" xfId="0" applyNumberFormat="1" applyFont="1" applyFill="1" applyBorder="1" applyAlignment="1" applyProtection="1">
      <alignment horizontal="center" vertical="center"/>
    </xf>
    <xf numFmtId="0" fontId="7" fillId="3" borderId="68" xfId="0" applyFont="1" applyFill="1" applyBorder="1" applyAlignment="1" applyProtection="1">
      <alignment horizontal="center" vertical="center" shrinkToFit="1"/>
    </xf>
    <xf numFmtId="0" fontId="7" fillId="3" borderId="49" xfId="0" applyFont="1" applyFill="1" applyBorder="1" applyAlignment="1" applyProtection="1">
      <alignment horizontal="center" vertical="center" shrinkToFit="1"/>
    </xf>
    <xf numFmtId="177" fontId="3" fillId="0" borderId="23" xfId="0" applyNumberFormat="1" applyFont="1" applyFill="1" applyBorder="1" applyAlignment="1">
      <alignment horizontal="center" vertical="center"/>
    </xf>
    <xf numFmtId="177" fontId="3" fillId="0" borderId="24" xfId="0" applyNumberFormat="1" applyFont="1" applyFill="1" applyBorder="1" applyAlignment="1">
      <alignment horizontal="center" vertical="center"/>
    </xf>
    <xf numFmtId="0" fontId="7" fillId="3" borderId="16" xfId="0" applyFont="1" applyFill="1" applyBorder="1" applyAlignment="1" applyProtection="1">
      <alignment horizontal="center" vertical="center" shrinkToFit="1"/>
      <protection locked="0"/>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7" fillId="3" borderId="102" xfId="0" applyFont="1" applyFill="1" applyBorder="1" applyAlignment="1" applyProtection="1">
      <alignment horizontal="center" vertical="center" shrinkToFit="1"/>
    </xf>
    <xf numFmtId="0" fontId="7" fillId="3" borderId="103" xfId="0" applyFont="1" applyFill="1" applyBorder="1" applyAlignment="1" applyProtection="1">
      <alignment horizontal="center" vertical="center" shrinkToFi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178" fontId="3" fillId="0" borderId="13" xfId="0" applyNumberFormat="1" applyFont="1" applyBorder="1" applyAlignment="1">
      <alignment horizontal="center" vertical="center"/>
    </xf>
    <xf numFmtId="0" fontId="4" fillId="0" borderId="51"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178" fontId="9" fillId="0" borderId="5" xfId="0" applyNumberFormat="1" applyFont="1" applyBorder="1" applyAlignment="1">
      <alignment horizontal="center" vertical="center"/>
    </xf>
    <xf numFmtId="0" fontId="9" fillId="0" borderId="5" xfId="0" applyNumberFormat="1" applyFont="1" applyBorder="1" applyAlignment="1">
      <alignment horizontal="center" vertical="center" shrinkToFit="1"/>
    </xf>
    <xf numFmtId="178" fontId="3" fillId="0" borderId="4" xfId="0" applyNumberFormat="1" applyFont="1" applyBorder="1" applyAlignment="1">
      <alignment horizontal="center" vertical="center"/>
    </xf>
    <xf numFmtId="178" fontId="3" fillId="0" borderId="45" xfId="0" applyNumberFormat="1" applyFont="1" applyBorder="1" applyAlignment="1">
      <alignment horizontal="center" vertical="center"/>
    </xf>
    <xf numFmtId="178" fontId="3" fillId="0" borderId="47" xfId="0" applyNumberFormat="1" applyFont="1" applyBorder="1" applyAlignment="1">
      <alignment horizontal="center" vertical="center"/>
    </xf>
    <xf numFmtId="178" fontId="3" fillId="0" borderId="104" xfId="0" applyNumberFormat="1" applyFont="1" applyBorder="1" applyAlignment="1">
      <alignment horizontal="center" vertical="center"/>
    </xf>
    <xf numFmtId="178" fontId="3" fillId="0" borderId="105" xfId="0" applyNumberFormat="1" applyFont="1" applyBorder="1" applyAlignment="1">
      <alignment horizontal="center" vertical="center"/>
    </xf>
    <xf numFmtId="178" fontId="3" fillId="0" borderId="106" xfId="0" applyNumberFormat="1" applyFont="1" applyBorder="1" applyAlignment="1">
      <alignment horizontal="center" vertical="center"/>
    </xf>
    <xf numFmtId="178" fontId="3" fillId="0" borderId="61" xfId="0" applyNumberFormat="1" applyFont="1" applyBorder="1" applyAlignment="1">
      <alignment horizontal="center" vertical="center"/>
    </xf>
    <xf numFmtId="178" fontId="3" fillId="0" borderId="71" xfId="0" applyNumberFormat="1" applyFont="1" applyBorder="1" applyAlignment="1">
      <alignment horizontal="center" vertical="center"/>
    </xf>
    <xf numFmtId="178" fontId="3" fillId="0" borderId="72" xfId="0" applyNumberFormat="1" applyFont="1" applyBorder="1" applyAlignment="1">
      <alignment horizontal="center" vertical="center"/>
    </xf>
    <xf numFmtId="0" fontId="7" fillId="3" borderId="44" xfId="0" applyFont="1" applyFill="1" applyBorder="1" applyAlignment="1" applyProtection="1">
      <alignment horizontal="center" vertical="center" shrinkToFit="1"/>
      <protection locked="0"/>
    </xf>
    <xf numFmtId="0" fontId="7" fillId="3" borderId="102" xfId="0" applyFont="1" applyFill="1" applyBorder="1" applyAlignment="1" applyProtection="1">
      <alignment horizontal="center" vertical="center" shrinkToFit="1"/>
      <protection locked="0"/>
    </xf>
    <xf numFmtId="0" fontId="7" fillId="3" borderId="103" xfId="0" applyFont="1" applyFill="1" applyBorder="1" applyAlignment="1" applyProtection="1">
      <alignment horizontal="center" vertical="center" shrinkToFit="1"/>
      <protection locked="0"/>
    </xf>
    <xf numFmtId="178" fontId="3" fillId="2" borderId="45" xfId="0" applyNumberFormat="1" applyFont="1" applyFill="1" applyBorder="1" applyAlignment="1">
      <alignment horizontal="center" vertical="center"/>
    </xf>
    <xf numFmtId="178" fontId="3" fillId="2" borderId="47" xfId="0" applyNumberFormat="1" applyFont="1" applyFill="1" applyBorder="1" applyAlignment="1">
      <alignment horizontal="center" vertical="center"/>
    </xf>
    <xf numFmtId="178" fontId="3" fillId="0" borderId="64" xfId="0" applyNumberFormat="1" applyFont="1" applyBorder="1" applyAlignment="1">
      <alignment horizontal="center" vertical="center"/>
    </xf>
    <xf numFmtId="178" fontId="3" fillId="0" borderId="69" xfId="0" applyNumberFormat="1" applyFont="1" applyBorder="1" applyAlignment="1">
      <alignment horizontal="center" vertical="center"/>
    </xf>
    <xf numFmtId="178" fontId="3" fillId="0" borderId="83" xfId="0" applyNumberFormat="1" applyFont="1" applyBorder="1" applyAlignment="1">
      <alignment horizontal="center" vertical="center"/>
    </xf>
    <xf numFmtId="178" fontId="3" fillId="0" borderId="82" xfId="0" applyNumberFormat="1" applyFont="1" applyBorder="1" applyAlignment="1">
      <alignment horizontal="center" vertical="center"/>
    </xf>
    <xf numFmtId="178" fontId="3" fillId="0" borderId="68" xfId="0" applyNumberFormat="1" applyFont="1" applyBorder="1" applyAlignment="1">
      <alignment horizontal="center" vertical="center"/>
    </xf>
    <xf numFmtId="178" fontId="3" fillId="0" borderId="49" xfId="0" applyNumberFormat="1" applyFont="1" applyBorder="1" applyAlignment="1">
      <alignment horizontal="center" vertical="center"/>
    </xf>
    <xf numFmtId="0" fontId="7" fillId="3" borderId="48" xfId="0" applyFont="1" applyFill="1" applyBorder="1" applyAlignment="1" applyProtection="1">
      <alignment horizontal="center" vertical="center" shrinkToFit="1"/>
      <protection locked="0"/>
    </xf>
    <xf numFmtId="178" fontId="3" fillId="2" borderId="68" xfId="0" applyNumberFormat="1" applyFont="1" applyFill="1" applyBorder="1" applyAlignment="1">
      <alignment horizontal="center" vertical="center"/>
    </xf>
    <xf numFmtId="178" fontId="3" fillId="2" borderId="49" xfId="0" applyNumberFormat="1" applyFont="1" applyFill="1" applyBorder="1" applyAlignment="1">
      <alignment horizontal="center" vertical="center"/>
    </xf>
    <xf numFmtId="0" fontId="7" fillId="3" borderId="41" xfId="0" applyFont="1" applyFill="1" applyBorder="1" applyAlignment="1" applyProtection="1">
      <alignment horizontal="center" vertical="center" shrinkToFit="1"/>
      <protection locked="0"/>
    </xf>
    <xf numFmtId="0" fontId="7" fillId="3" borderId="65"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178" fontId="3" fillId="2" borderId="42" xfId="0" applyNumberFormat="1" applyFont="1" applyFill="1" applyBorder="1" applyAlignment="1">
      <alignment horizontal="center" vertical="center"/>
    </xf>
    <xf numFmtId="178" fontId="3" fillId="2" borderId="50" xfId="0" applyNumberFormat="1" applyFont="1" applyFill="1" applyBorder="1" applyAlignment="1">
      <alignment horizontal="center" vertical="center"/>
    </xf>
    <xf numFmtId="178" fontId="3" fillId="0" borderId="65"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42"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73" xfId="0" applyNumberFormat="1" applyFont="1" applyBorder="1" applyAlignment="1">
      <alignment horizontal="center" vertical="center"/>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61"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60"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13" fillId="0" borderId="34" xfId="0" applyFont="1" applyBorder="1" applyAlignment="1">
      <alignment horizontal="center" vertical="center" wrapText="1"/>
    </xf>
    <xf numFmtId="0" fontId="13" fillId="0" borderId="34" xfId="0" applyFont="1" applyBorder="1" applyAlignment="1">
      <alignment horizontal="center" vertical="center"/>
    </xf>
    <xf numFmtId="0" fontId="13" fillId="0" borderId="20" xfId="0" applyFont="1" applyBorder="1" applyAlignment="1">
      <alignment horizontal="center" vertical="center"/>
    </xf>
    <xf numFmtId="0" fontId="3" fillId="2" borderId="65"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65" xfId="0" applyFont="1" applyBorder="1" applyAlignment="1">
      <alignment horizontal="center" vertical="center" wrapText="1"/>
    </xf>
    <xf numFmtId="0" fontId="3" fillId="0" borderId="59" xfId="0" applyFont="1" applyBorder="1" applyAlignment="1">
      <alignment horizontal="center" vertical="center"/>
    </xf>
    <xf numFmtId="0" fontId="3" fillId="0" borderId="38" xfId="0"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3" fillId="0" borderId="22" xfId="0" applyFont="1" applyBorder="1" applyAlignment="1">
      <alignment horizontal="center" vertical="center"/>
    </xf>
    <xf numFmtId="0" fontId="8" fillId="3" borderId="47" xfId="0" applyFont="1" applyFill="1" applyBorder="1" applyAlignment="1" applyProtection="1">
      <alignment horizontal="center" vertical="center" shrinkToFit="1"/>
      <protection locked="0"/>
    </xf>
    <xf numFmtId="178" fontId="3" fillId="0" borderId="39" xfId="0" applyNumberFormat="1" applyFont="1" applyBorder="1" applyAlignment="1">
      <alignment horizontal="center" vertical="center"/>
    </xf>
    <xf numFmtId="178" fontId="3" fillId="0" borderId="33" xfId="0" applyNumberFormat="1" applyFont="1" applyBorder="1" applyAlignment="1">
      <alignment horizontal="center" vertical="center"/>
    </xf>
    <xf numFmtId="0" fontId="8" fillId="3" borderId="49" xfId="0" applyFont="1" applyFill="1" applyBorder="1" applyAlignment="1" applyProtection="1">
      <alignment horizontal="center" vertical="center" shrinkToFit="1"/>
      <protection locked="0"/>
    </xf>
    <xf numFmtId="0" fontId="8" fillId="3" borderId="50" xfId="0" applyFont="1" applyFill="1" applyBorder="1" applyAlignment="1" applyProtection="1">
      <alignment horizontal="center" vertical="center" shrinkToFit="1"/>
      <protection locked="0"/>
    </xf>
    <xf numFmtId="178" fontId="3" fillId="0" borderId="32" xfId="0" applyNumberFormat="1" applyFont="1" applyBorder="1" applyAlignment="1">
      <alignment horizontal="center" vertical="center"/>
    </xf>
    <xf numFmtId="178" fontId="3" fillId="0" borderId="70" xfId="0" applyNumberFormat="1" applyFont="1" applyBorder="1" applyAlignment="1">
      <alignment horizontal="center" vertical="center"/>
    </xf>
    <xf numFmtId="2" fontId="6" fillId="0" borderId="0" xfId="0" applyNumberFormat="1" applyFont="1" applyAlignment="1">
      <alignment horizontal="center" vertical="center"/>
    </xf>
    <xf numFmtId="0" fontId="3" fillId="0" borderId="91" xfId="0" applyFont="1" applyBorder="1" applyAlignment="1">
      <alignment horizontal="center" vertical="center"/>
    </xf>
    <xf numFmtId="0" fontId="3" fillId="0" borderId="93" xfId="0" applyFont="1" applyBorder="1" applyAlignment="1">
      <alignment horizontal="center" vertical="center"/>
    </xf>
    <xf numFmtId="38" fontId="3" fillId="0" borderId="20" xfId="1" applyFont="1" applyBorder="1" applyAlignment="1">
      <alignment horizontal="center" vertical="center"/>
    </xf>
    <xf numFmtId="38" fontId="3" fillId="0" borderId="53" xfId="1" applyFont="1" applyBorder="1" applyAlignment="1">
      <alignment horizontal="center" vertical="center"/>
    </xf>
    <xf numFmtId="0" fontId="3" fillId="0" borderId="79" xfId="0"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178" fontId="3" fillId="0" borderId="24" xfId="0" applyNumberFormat="1" applyFont="1" applyBorder="1" applyAlignment="1">
      <alignment horizontal="center" vertical="center"/>
    </xf>
    <xf numFmtId="0" fontId="18" fillId="0" borderId="48"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114" xfId="0" applyFont="1" applyFill="1" applyBorder="1" applyAlignment="1">
      <alignment horizontal="center" vertical="center"/>
    </xf>
    <xf numFmtId="179" fontId="7" fillId="3" borderId="64" xfId="0" applyNumberFormat="1" applyFont="1" applyFill="1" applyBorder="1" applyAlignment="1" applyProtection="1">
      <alignment horizontal="center" vertical="center" shrinkToFit="1"/>
      <protection locked="0"/>
    </xf>
    <xf numFmtId="178" fontId="3" fillId="0" borderId="109" xfId="0" applyNumberFormat="1" applyFont="1" applyBorder="1" applyAlignment="1">
      <alignment horizontal="center" vertical="center"/>
    </xf>
    <xf numFmtId="0" fontId="18" fillId="0" borderId="29" xfId="0" applyFont="1" applyFill="1" applyBorder="1" applyAlignment="1">
      <alignment horizontal="center" vertical="center"/>
    </xf>
    <xf numFmtId="0" fontId="18" fillId="0" borderId="67" xfId="0" applyFont="1" applyFill="1" applyBorder="1" applyAlignment="1">
      <alignment horizontal="center" vertical="center"/>
    </xf>
    <xf numFmtId="0" fontId="18" fillId="0" borderId="66" xfId="0" applyFont="1" applyFill="1" applyBorder="1" applyAlignment="1">
      <alignment horizontal="center" vertical="center"/>
    </xf>
    <xf numFmtId="0" fontId="18" fillId="0" borderId="0" xfId="0" applyFont="1" applyFill="1" applyBorder="1" applyAlignment="1">
      <alignment horizontal="center" vertical="center"/>
    </xf>
    <xf numFmtId="0" fontId="7" fillId="3" borderId="115" xfId="0" applyFont="1" applyFill="1" applyBorder="1" applyAlignment="1" applyProtection="1">
      <alignment horizontal="center" vertical="center" shrinkToFit="1"/>
      <protection locked="0"/>
    </xf>
    <xf numFmtId="0" fontId="7" fillId="3" borderId="116" xfId="0" applyFont="1" applyFill="1" applyBorder="1" applyAlignment="1" applyProtection="1">
      <alignment horizontal="center" vertical="center" shrinkToFit="1"/>
      <protection locked="0"/>
    </xf>
    <xf numFmtId="179" fontId="7" fillId="3" borderId="33" xfId="0" applyNumberFormat="1" applyFont="1" applyFill="1" applyBorder="1" applyAlignment="1" applyProtection="1">
      <alignment horizontal="center" vertical="center" shrinkToFit="1"/>
      <protection locked="0"/>
    </xf>
    <xf numFmtId="179" fontId="7" fillId="3" borderId="45" xfId="0" applyNumberFormat="1" applyFont="1" applyFill="1" applyBorder="1" applyAlignment="1" applyProtection="1">
      <alignment horizontal="center" vertical="center" shrinkToFit="1"/>
      <protection locked="0"/>
    </xf>
    <xf numFmtId="178" fontId="3" fillId="0" borderId="102" xfId="0" applyNumberFormat="1" applyFont="1" applyBorder="1" applyAlignment="1">
      <alignment horizontal="center" vertical="center"/>
    </xf>
    <xf numFmtId="178" fontId="3" fillId="0" borderId="112" xfId="0" applyNumberFormat="1" applyFont="1" applyBorder="1" applyAlignment="1">
      <alignment horizontal="center" vertical="center"/>
    </xf>
    <xf numFmtId="0" fontId="18" fillId="0" borderId="113" xfId="0" applyFont="1" applyFill="1" applyBorder="1" applyAlignment="1">
      <alignment horizontal="center" vertical="center"/>
    </xf>
    <xf numFmtId="0" fontId="18" fillId="0" borderId="82"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59" xfId="0" applyFont="1" applyFill="1" applyBorder="1" applyAlignment="1">
      <alignment horizontal="center" vertical="center"/>
    </xf>
    <xf numFmtId="0" fontId="18" fillId="0" borderId="65" xfId="0" applyFont="1" applyFill="1" applyBorder="1" applyAlignment="1">
      <alignment horizontal="center" vertical="center"/>
    </xf>
    <xf numFmtId="0" fontId="18" fillId="0" borderId="6" xfId="0" applyFont="1" applyFill="1" applyBorder="1" applyAlignment="1">
      <alignment horizontal="center" vertical="center"/>
    </xf>
    <xf numFmtId="0" fontId="7" fillId="3" borderId="110" xfId="0" applyFont="1" applyFill="1" applyBorder="1" applyAlignment="1" applyProtection="1">
      <alignment horizontal="center" vertical="center" shrinkToFit="1"/>
      <protection locked="0"/>
    </xf>
    <xf numFmtId="0" fontId="7" fillId="3" borderId="111" xfId="0" applyFont="1" applyFill="1" applyBorder="1" applyAlignment="1" applyProtection="1">
      <alignment horizontal="center" vertical="center" shrinkToFit="1"/>
      <protection locked="0"/>
    </xf>
    <xf numFmtId="179" fontId="7" fillId="3" borderId="16" xfId="0" applyNumberFormat="1" applyFont="1" applyFill="1" applyBorder="1" applyAlignment="1" applyProtection="1">
      <alignment horizontal="center" vertical="center" shrinkToFit="1"/>
      <protection locked="0"/>
    </xf>
    <xf numFmtId="178" fontId="3" fillId="0" borderId="17" xfId="0" applyNumberFormat="1" applyFont="1" applyBorder="1" applyAlignment="1">
      <alignment horizontal="center" vertical="center"/>
    </xf>
    <xf numFmtId="0" fontId="3" fillId="0" borderId="34" xfId="0" applyFont="1" applyBorder="1" applyAlignment="1">
      <alignment horizontal="center" wrapText="1"/>
    </xf>
    <xf numFmtId="0" fontId="3" fillId="0" borderId="34" xfId="0" applyFont="1" applyBorder="1" applyAlignment="1">
      <alignment horizontal="center"/>
    </xf>
    <xf numFmtId="0" fontId="3" fillId="0" borderId="20" xfId="0" applyFont="1" applyBorder="1" applyAlignment="1">
      <alignment horizontal="center"/>
    </xf>
    <xf numFmtId="0" fontId="3" fillId="0" borderId="53" xfId="0" applyFont="1" applyBorder="1" applyAlignment="1">
      <alignment horizontal="center" vertical="center"/>
    </xf>
    <xf numFmtId="0" fontId="18" fillId="0" borderId="48" xfId="0" applyFont="1" applyFill="1" applyBorder="1" applyAlignment="1" applyProtection="1">
      <alignment horizontal="center" vertical="center"/>
    </xf>
    <xf numFmtId="0" fontId="19" fillId="0" borderId="49" xfId="0" applyFont="1" applyFill="1" applyBorder="1" applyAlignment="1" applyProtection="1">
      <alignment horizontal="center" vertical="center"/>
    </xf>
    <xf numFmtId="0" fontId="18" fillId="0" borderId="64" xfId="0" applyFont="1" applyFill="1" applyBorder="1" applyAlignment="1" applyProtection="1">
      <alignment horizontal="center" vertical="center"/>
    </xf>
    <xf numFmtId="0" fontId="3" fillId="0" borderId="33" xfId="0" applyFont="1" applyFill="1" applyBorder="1" applyAlignment="1">
      <alignment horizontal="center" vertical="center"/>
    </xf>
    <xf numFmtId="0" fontId="3" fillId="0" borderId="64" xfId="0" applyFont="1" applyFill="1" applyBorder="1" applyAlignment="1">
      <alignment horizontal="center" vertical="center"/>
    </xf>
    <xf numFmtId="0" fontId="18" fillId="0" borderId="44"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178" fontId="3" fillId="0" borderId="46" xfId="0" applyNumberFormat="1" applyFont="1" applyBorder="1" applyAlignment="1">
      <alignment horizontal="center" vertical="center"/>
    </xf>
    <xf numFmtId="0" fontId="3" fillId="0" borderId="20" xfId="0" applyFont="1" applyBorder="1" applyAlignment="1">
      <alignment horizontal="center" wrapText="1"/>
    </xf>
    <xf numFmtId="0" fontId="3" fillId="0" borderId="0" xfId="0" applyFont="1" applyAlignment="1">
      <alignment horizontal="center"/>
    </xf>
    <xf numFmtId="0" fontId="18" fillId="0" borderId="41" xfId="0" applyFont="1" applyFill="1" applyBorder="1" applyAlignment="1" applyProtection="1">
      <alignment horizontal="center" vertical="center"/>
    </xf>
    <xf numFmtId="0" fontId="19" fillId="0" borderId="50"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3" fillId="0" borderId="32" xfId="0" applyFont="1" applyFill="1" applyBorder="1" applyAlignment="1">
      <alignment horizontal="center" vertical="center"/>
    </xf>
    <xf numFmtId="178" fontId="3" fillId="0" borderId="43" xfId="0" applyNumberFormat="1" applyFont="1" applyBorder="1" applyAlignment="1">
      <alignment horizontal="center" vertical="center"/>
    </xf>
    <xf numFmtId="0" fontId="8" fillId="0" borderId="108" xfId="0" applyFont="1" applyBorder="1" applyAlignment="1">
      <alignment horizontal="center" vertical="center"/>
    </xf>
    <xf numFmtId="0" fontId="8" fillId="0" borderId="71" xfId="0" applyFont="1" applyBorder="1" applyAlignment="1">
      <alignment horizontal="center" vertical="center"/>
    </xf>
    <xf numFmtId="0" fontId="7" fillId="3" borderId="107" xfId="0" applyFont="1" applyFill="1" applyBorder="1" applyAlignment="1" applyProtection="1">
      <alignment horizontal="center" vertical="center" shrinkToFit="1"/>
      <protection locked="0"/>
    </xf>
    <xf numFmtId="0" fontId="7" fillId="3" borderId="18"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7" fillId="3" borderId="93" xfId="0" applyFont="1" applyFill="1" applyBorder="1" applyAlignment="1" applyProtection="1">
      <alignment horizontal="center" vertical="center" shrinkToFit="1"/>
      <protection locked="0"/>
    </xf>
    <xf numFmtId="0" fontId="7" fillId="3" borderId="20"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30" xfId="0" applyFont="1" applyFill="1" applyBorder="1" applyAlignment="1">
      <alignment horizontal="center" vertical="center"/>
    </xf>
    <xf numFmtId="0" fontId="7" fillId="3" borderId="91"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25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ctrlProps/ctrlProp1.xml><?xml version="1.0" encoding="utf-8"?>
<formControlPr xmlns="http://schemas.microsoft.com/office/spreadsheetml/2009/9/main" objectType="Radio" checked="Checked" firstButton="1" fmlaLink="$AF$17" lockText="1" noThreeD="1"/>
</file>

<file path=xl/ctrlProps/ctrlProp10.xml><?xml version="1.0" encoding="utf-8"?>
<formControlPr xmlns="http://schemas.microsoft.com/office/spreadsheetml/2009/9/main" objectType="CheckBox" fmlaLink="$AG$19" lockText="1" noThreeD="1"/>
</file>

<file path=xl/ctrlProps/ctrlProp100.xml><?xml version="1.0" encoding="utf-8"?>
<formControlPr xmlns="http://schemas.microsoft.com/office/spreadsheetml/2009/9/main" objectType="CheckBox" fmlaLink="$AD$35" lockText="1" noThreeD="1"/>
</file>

<file path=xl/ctrlProps/ctrlProp101.xml><?xml version="1.0" encoding="utf-8"?>
<formControlPr xmlns="http://schemas.microsoft.com/office/spreadsheetml/2009/9/main" objectType="CheckBox" fmlaLink="$AG$8" lockText="1" noThreeD="1"/>
</file>

<file path=xl/ctrlProps/ctrlProp102.xml><?xml version="1.0" encoding="utf-8"?>
<formControlPr xmlns="http://schemas.microsoft.com/office/spreadsheetml/2009/9/main" objectType="CheckBox" fmlaLink="$AG$9" lockText="1" noThreeD="1"/>
</file>

<file path=xl/ctrlProps/ctrlProp103.xml><?xml version="1.0" encoding="utf-8"?>
<formControlPr xmlns="http://schemas.microsoft.com/office/spreadsheetml/2009/9/main" objectType="CheckBox" fmlaLink="$AG$15" lockText="1" noThreeD="1"/>
</file>

<file path=xl/ctrlProps/ctrlProp104.xml><?xml version="1.0" encoding="utf-8"?>
<formControlPr xmlns="http://schemas.microsoft.com/office/spreadsheetml/2009/9/main" objectType="CheckBox" fmlaLink="$AG$16" lockText="1" noThreeD="1"/>
</file>

<file path=xl/ctrlProps/ctrlProp105.xml><?xml version="1.0" encoding="utf-8"?>
<formControlPr xmlns="http://schemas.microsoft.com/office/spreadsheetml/2009/9/main" objectType="CheckBox" fmlaLink="$AG$17" lockText="1" noThreeD="1"/>
</file>

<file path=xl/ctrlProps/ctrlProp106.xml><?xml version="1.0" encoding="utf-8"?>
<formControlPr xmlns="http://schemas.microsoft.com/office/spreadsheetml/2009/9/main" objectType="CheckBox" fmlaLink="$AG$18" lockText="1" noThreeD="1"/>
</file>

<file path=xl/ctrlProps/ctrlProp107.xml><?xml version="1.0" encoding="utf-8"?>
<formControlPr xmlns="http://schemas.microsoft.com/office/spreadsheetml/2009/9/main" objectType="CheckBox" fmlaLink="$AG$19" lockText="1" noThreeD="1"/>
</file>

<file path=xl/ctrlProps/ctrlProp108.xml><?xml version="1.0" encoding="utf-8"?>
<formControlPr xmlns="http://schemas.microsoft.com/office/spreadsheetml/2009/9/main" objectType="CheckBox" fmlaLink="$AG$10" lockText="1" noThreeD="1"/>
</file>

<file path=xl/ctrlProps/ctrlProp109.xml><?xml version="1.0" encoding="utf-8"?>
<formControlPr xmlns="http://schemas.microsoft.com/office/spreadsheetml/2009/9/main" objectType="CheckBox" fmlaLink="$AG$11" lockText="1" noThreeD="1"/>
</file>

<file path=xl/ctrlProps/ctrlProp11.xml><?xml version="1.0" encoding="utf-8"?>
<formControlPr xmlns="http://schemas.microsoft.com/office/spreadsheetml/2009/9/main" objectType="CheckBox" checked="Checked" fmlaLink="$AG$10" lockText="1" noThreeD="1"/>
</file>

<file path=xl/ctrlProps/ctrlProp110.xml><?xml version="1.0" encoding="utf-8"?>
<formControlPr xmlns="http://schemas.microsoft.com/office/spreadsheetml/2009/9/main" objectType="CheckBox" fmlaLink="$AG$14" lockText="1" noThreeD="1"/>
</file>

<file path=xl/ctrlProps/ctrlProp111.xml><?xml version="1.0" encoding="utf-8"?>
<formControlPr xmlns="http://schemas.microsoft.com/office/spreadsheetml/2009/9/main" objectType="CheckBox" fmlaLink="$AD$33" lockText="1" noThreeD="1"/>
</file>

<file path=xl/ctrlProps/ctrlProp112.xml><?xml version="1.0" encoding="utf-8"?>
<formControlPr xmlns="http://schemas.microsoft.com/office/spreadsheetml/2009/9/main" objectType="CheckBox" fmlaLink="$AD$36" lockText="1" noThreeD="1"/>
</file>

<file path=xl/ctrlProps/ctrlProp113.xml><?xml version="1.0" encoding="utf-8"?>
<formControlPr xmlns="http://schemas.microsoft.com/office/spreadsheetml/2009/9/main" objectType="CheckBox" fmlaLink="$AD$37" lockText="1" noThreeD="1"/>
</file>

<file path=xl/ctrlProps/ctrlProp114.xml><?xml version="1.0" encoding="utf-8"?>
<formControlPr xmlns="http://schemas.microsoft.com/office/spreadsheetml/2009/9/main" objectType="CheckBox" fmlaLink="$AG$12" lockText="1" noThreeD="1"/>
</file>

<file path=xl/ctrlProps/ctrlProp115.xml><?xml version="1.0" encoding="utf-8"?>
<formControlPr xmlns="http://schemas.microsoft.com/office/spreadsheetml/2009/9/main" objectType="CheckBox" fmlaLink="$AG$13" lockText="1" noThreeD="1"/>
</file>

<file path=xl/ctrlProps/ctrlProp116.xml><?xml version="1.0" encoding="utf-8"?>
<formControlPr xmlns="http://schemas.microsoft.com/office/spreadsheetml/2009/9/main" objectType="CheckBox" fmlaLink="$AD$34" lockText="1" noThreeD="1"/>
</file>

<file path=xl/ctrlProps/ctrlProp117.xml><?xml version="1.0" encoding="utf-8"?>
<formControlPr xmlns="http://schemas.microsoft.com/office/spreadsheetml/2009/9/main" objectType="CheckBox" fmlaLink="$AD$35" lockText="1" noThreeD="1"/>
</file>

<file path=xl/ctrlProps/ctrlProp118.xml><?xml version="1.0" encoding="utf-8"?>
<formControlPr xmlns="http://schemas.microsoft.com/office/spreadsheetml/2009/9/main" objectType="CheckBox" checked="Checked" fmlaLink="$AG$8" lockText="1" noThreeD="1"/>
</file>

<file path=xl/ctrlProps/ctrlProp119.xml><?xml version="1.0" encoding="utf-8"?>
<formControlPr xmlns="http://schemas.microsoft.com/office/spreadsheetml/2009/9/main" objectType="CheckBox" fmlaLink="$AG$9" lockText="1" noThreeD="1"/>
</file>

<file path=xl/ctrlProps/ctrlProp12.xml><?xml version="1.0" encoding="utf-8"?>
<formControlPr xmlns="http://schemas.microsoft.com/office/spreadsheetml/2009/9/main" objectType="CheckBox" checked="Checked" fmlaLink="$AG$11" lockText="1" noThreeD="1"/>
</file>

<file path=xl/ctrlProps/ctrlProp120.xml><?xml version="1.0" encoding="utf-8"?>
<formControlPr xmlns="http://schemas.microsoft.com/office/spreadsheetml/2009/9/main" objectType="CheckBox" fmlaLink="$AG$15" lockText="1" noThreeD="1"/>
</file>

<file path=xl/ctrlProps/ctrlProp121.xml><?xml version="1.0" encoding="utf-8"?>
<formControlPr xmlns="http://schemas.microsoft.com/office/spreadsheetml/2009/9/main" objectType="CheckBox" fmlaLink="$AG$16" lockText="1" noThreeD="1"/>
</file>

<file path=xl/ctrlProps/ctrlProp122.xml><?xml version="1.0" encoding="utf-8"?>
<formControlPr xmlns="http://schemas.microsoft.com/office/spreadsheetml/2009/9/main" objectType="CheckBox" fmlaLink="$AG$17" lockText="1" noThreeD="1"/>
</file>

<file path=xl/ctrlProps/ctrlProp123.xml><?xml version="1.0" encoding="utf-8"?>
<formControlPr xmlns="http://schemas.microsoft.com/office/spreadsheetml/2009/9/main" objectType="CheckBox" fmlaLink="$AG$18" lockText="1" noThreeD="1"/>
</file>

<file path=xl/ctrlProps/ctrlProp124.xml><?xml version="1.0" encoding="utf-8"?>
<formControlPr xmlns="http://schemas.microsoft.com/office/spreadsheetml/2009/9/main" objectType="CheckBox" fmlaLink="$AG$19" lockText="1" noThreeD="1"/>
</file>

<file path=xl/ctrlProps/ctrlProp125.xml><?xml version="1.0" encoding="utf-8"?>
<formControlPr xmlns="http://schemas.microsoft.com/office/spreadsheetml/2009/9/main" objectType="CheckBox" fmlaLink="$AG$10" lockText="1" noThreeD="1"/>
</file>

<file path=xl/ctrlProps/ctrlProp126.xml><?xml version="1.0" encoding="utf-8"?>
<formControlPr xmlns="http://schemas.microsoft.com/office/spreadsheetml/2009/9/main" objectType="CheckBox" fmlaLink="$AG$11" lockText="1" noThreeD="1"/>
</file>

<file path=xl/ctrlProps/ctrlProp127.xml><?xml version="1.0" encoding="utf-8"?>
<formControlPr xmlns="http://schemas.microsoft.com/office/spreadsheetml/2009/9/main" objectType="CheckBox" fmlaLink="$AG$14" lockText="1" noThreeD="1"/>
</file>

<file path=xl/ctrlProps/ctrlProp128.xml><?xml version="1.0" encoding="utf-8"?>
<formControlPr xmlns="http://schemas.microsoft.com/office/spreadsheetml/2009/9/main" objectType="CheckBox" fmlaLink="$AD$33" lockText="1" noThreeD="1"/>
</file>

<file path=xl/ctrlProps/ctrlProp129.xml><?xml version="1.0" encoding="utf-8"?>
<formControlPr xmlns="http://schemas.microsoft.com/office/spreadsheetml/2009/9/main" objectType="CheckBox" fmlaLink="$AD$36" lockText="1" noThreeD="1"/>
</file>

<file path=xl/ctrlProps/ctrlProp13.xml><?xml version="1.0" encoding="utf-8"?>
<formControlPr xmlns="http://schemas.microsoft.com/office/spreadsheetml/2009/9/main" objectType="CheckBox" fmlaLink="$AG$14" lockText="1" noThreeD="1"/>
</file>

<file path=xl/ctrlProps/ctrlProp130.xml><?xml version="1.0" encoding="utf-8"?>
<formControlPr xmlns="http://schemas.microsoft.com/office/spreadsheetml/2009/9/main" objectType="CheckBox" fmlaLink="$AD$37" lockText="1" noThreeD="1"/>
</file>

<file path=xl/ctrlProps/ctrlProp131.xml><?xml version="1.0" encoding="utf-8"?>
<formControlPr xmlns="http://schemas.microsoft.com/office/spreadsheetml/2009/9/main" objectType="CheckBox" fmlaLink="$AG$12" lockText="1" noThreeD="1"/>
</file>

<file path=xl/ctrlProps/ctrlProp132.xml><?xml version="1.0" encoding="utf-8"?>
<formControlPr xmlns="http://schemas.microsoft.com/office/spreadsheetml/2009/9/main" objectType="CheckBox" fmlaLink="$AG$13" lockText="1" noThreeD="1"/>
</file>

<file path=xl/ctrlProps/ctrlProp133.xml><?xml version="1.0" encoding="utf-8"?>
<formControlPr xmlns="http://schemas.microsoft.com/office/spreadsheetml/2009/9/main" objectType="CheckBox" fmlaLink="$AD$34" lockText="1" noThreeD="1"/>
</file>

<file path=xl/ctrlProps/ctrlProp134.xml><?xml version="1.0" encoding="utf-8"?>
<formControlPr xmlns="http://schemas.microsoft.com/office/spreadsheetml/2009/9/main" objectType="CheckBox" fmlaLink="$AD$35" lockText="1" noThreeD="1"/>
</file>

<file path=xl/ctrlProps/ctrlProp135.xml><?xml version="1.0" encoding="utf-8"?>
<formControlPr xmlns="http://schemas.microsoft.com/office/spreadsheetml/2009/9/main" objectType="CheckBox" fmlaLink="$AG$8" lockText="1" noThreeD="1"/>
</file>

<file path=xl/ctrlProps/ctrlProp136.xml><?xml version="1.0" encoding="utf-8"?>
<formControlPr xmlns="http://schemas.microsoft.com/office/spreadsheetml/2009/9/main" objectType="CheckBox" fmlaLink="$AG$9" lockText="1" noThreeD="1"/>
</file>

<file path=xl/ctrlProps/ctrlProp137.xml><?xml version="1.0" encoding="utf-8"?>
<formControlPr xmlns="http://schemas.microsoft.com/office/spreadsheetml/2009/9/main" objectType="CheckBox" fmlaLink="$AG$15" lockText="1" noThreeD="1"/>
</file>

<file path=xl/ctrlProps/ctrlProp138.xml><?xml version="1.0" encoding="utf-8"?>
<formControlPr xmlns="http://schemas.microsoft.com/office/spreadsheetml/2009/9/main" objectType="CheckBox" fmlaLink="$AG$16" lockText="1" noThreeD="1"/>
</file>

<file path=xl/ctrlProps/ctrlProp139.xml><?xml version="1.0" encoding="utf-8"?>
<formControlPr xmlns="http://schemas.microsoft.com/office/spreadsheetml/2009/9/main" objectType="CheckBox" fmlaLink="$AG$17" lockText="1" noThreeD="1"/>
</file>

<file path=xl/ctrlProps/ctrlProp14.xml><?xml version="1.0" encoding="utf-8"?>
<formControlPr xmlns="http://schemas.microsoft.com/office/spreadsheetml/2009/9/main" objectType="CheckBox" fmlaLink="$AD$33" lockText="1" noThreeD="1"/>
</file>

<file path=xl/ctrlProps/ctrlProp140.xml><?xml version="1.0" encoding="utf-8"?>
<formControlPr xmlns="http://schemas.microsoft.com/office/spreadsheetml/2009/9/main" objectType="CheckBox" fmlaLink="$AG$18" lockText="1" noThreeD="1"/>
</file>

<file path=xl/ctrlProps/ctrlProp141.xml><?xml version="1.0" encoding="utf-8"?>
<formControlPr xmlns="http://schemas.microsoft.com/office/spreadsheetml/2009/9/main" objectType="CheckBox" fmlaLink="$AG$19" lockText="1" noThreeD="1"/>
</file>

<file path=xl/ctrlProps/ctrlProp142.xml><?xml version="1.0" encoding="utf-8"?>
<formControlPr xmlns="http://schemas.microsoft.com/office/spreadsheetml/2009/9/main" objectType="CheckBox" fmlaLink="$AG$10" lockText="1" noThreeD="1"/>
</file>

<file path=xl/ctrlProps/ctrlProp143.xml><?xml version="1.0" encoding="utf-8"?>
<formControlPr xmlns="http://schemas.microsoft.com/office/spreadsheetml/2009/9/main" objectType="CheckBox" fmlaLink="$AG$11" lockText="1" noThreeD="1"/>
</file>

<file path=xl/ctrlProps/ctrlProp144.xml><?xml version="1.0" encoding="utf-8"?>
<formControlPr xmlns="http://schemas.microsoft.com/office/spreadsheetml/2009/9/main" objectType="CheckBox" fmlaLink="$AG$14" lockText="1" noThreeD="1"/>
</file>

<file path=xl/ctrlProps/ctrlProp145.xml><?xml version="1.0" encoding="utf-8"?>
<formControlPr xmlns="http://schemas.microsoft.com/office/spreadsheetml/2009/9/main" objectType="CheckBox" fmlaLink="$AD$33" lockText="1" noThreeD="1"/>
</file>

<file path=xl/ctrlProps/ctrlProp146.xml><?xml version="1.0" encoding="utf-8"?>
<formControlPr xmlns="http://schemas.microsoft.com/office/spreadsheetml/2009/9/main" objectType="CheckBox" fmlaLink="$AD$36" lockText="1" noThreeD="1"/>
</file>

<file path=xl/ctrlProps/ctrlProp147.xml><?xml version="1.0" encoding="utf-8"?>
<formControlPr xmlns="http://schemas.microsoft.com/office/spreadsheetml/2009/9/main" objectType="CheckBox" fmlaLink="$AD$37" lockText="1" noThreeD="1"/>
</file>

<file path=xl/ctrlProps/ctrlProp148.xml><?xml version="1.0" encoding="utf-8"?>
<formControlPr xmlns="http://schemas.microsoft.com/office/spreadsheetml/2009/9/main" objectType="CheckBox" fmlaLink="$AG$12" lockText="1" noThreeD="1"/>
</file>

<file path=xl/ctrlProps/ctrlProp149.xml><?xml version="1.0" encoding="utf-8"?>
<formControlPr xmlns="http://schemas.microsoft.com/office/spreadsheetml/2009/9/main" objectType="CheckBox" fmlaLink="$AG$13" lockText="1" noThreeD="1"/>
</file>

<file path=xl/ctrlProps/ctrlProp15.xml><?xml version="1.0" encoding="utf-8"?>
<formControlPr xmlns="http://schemas.microsoft.com/office/spreadsheetml/2009/9/main" objectType="CheckBox" fmlaLink="$AD$36" lockText="1" noThreeD="1"/>
</file>

<file path=xl/ctrlProps/ctrlProp150.xml><?xml version="1.0" encoding="utf-8"?>
<formControlPr xmlns="http://schemas.microsoft.com/office/spreadsheetml/2009/9/main" objectType="CheckBox" fmlaLink="$AD$34" lockText="1" noThreeD="1"/>
</file>

<file path=xl/ctrlProps/ctrlProp151.xml><?xml version="1.0" encoding="utf-8"?>
<formControlPr xmlns="http://schemas.microsoft.com/office/spreadsheetml/2009/9/main" objectType="CheckBox" fmlaLink="$AD$35" lockText="1" noThreeD="1"/>
</file>

<file path=xl/ctrlProps/ctrlProp16.xml><?xml version="1.0" encoding="utf-8"?>
<formControlPr xmlns="http://schemas.microsoft.com/office/spreadsheetml/2009/9/main" objectType="CheckBox" fmlaLink="$AD$37" lockText="1" noThreeD="1"/>
</file>

<file path=xl/ctrlProps/ctrlProp17.xml><?xml version="1.0" encoding="utf-8"?>
<formControlPr xmlns="http://schemas.microsoft.com/office/spreadsheetml/2009/9/main" objectType="CheckBox" checked="Checked" fmlaLink="$AG$12" lockText="1" noThreeD="1"/>
</file>

<file path=xl/ctrlProps/ctrlProp18.xml><?xml version="1.0" encoding="utf-8"?>
<formControlPr xmlns="http://schemas.microsoft.com/office/spreadsheetml/2009/9/main" objectType="CheckBox" checked="Checked" fmlaLink="$AG$13" lockText="1" noThreeD="1"/>
</file>

<file path=xl/ctrlProps/ctrlProp19.xml><?xml version="1.0" encoding="utf-8"?>
<formControlPr xmlns="http://schemas.microsoft.com/office/spreadsheetml/2009/9/main" objectType="CheckBox" fmlaLink="$AD$3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D$35" lockText="1" noThreeD="1"/>
</file>

<file path=xl/ctrlProps/ctrlProp21.xml><?xml version="1.0" encoding="utf-8"?>
<formControlPr xmlns="http://schemas.microsoft.com/office/spreadsheetml/2009/9/main" objectType="CheckBox" checked="Checked" fmlaLink="$AG$8" lockText="1" noThreeD="1"/>
</file>

<file path=xl/ctrlProps/ctrlProp22.xml><?xml version="1.0" encoding="utf-8"?>
<formControlPr xmlns="http://schemas.microsoft.com/office/spreadsheetml/2009/9/main" objectType="CheckBox" checked="Checked" fmlaLink="$AG$9" lockText="1" noThreeD="1"/>
</file>

<file path=xl/ctrlProps/ctrlProp23.xml><?xml version="1.0" encoding="utf-8"?>
<formControlPr xmlns="http://schemas.microsoft.com/office/spreadsheetml/2009/9/main" objectType="CheckBox" fmlaLink="$AG$15" lockText="1" noThreeD="1"/>
</file>

<file path=xl/ctrlProps/ctrlProp24.xml><?xml version="1.0" encoding="utf-8"?>
<formControlPr xmlns="http://schemas.microsoft.com/office/spreadsheetml/2009/9/main" objectType="CheckBox" fmlaLink="$AG$16" lockText="1" noThreeD="1"/>
</file>

<file path=xl/ctrlProps/ctrlProp25.xml><?xml version="1.0" encoding="utf-8"?>
<formControlPr xmlns="http://schemas.microsoft.com/office/spreadsheetml/2009/9/main" objectType="CheckBox" fmlaLink="$AG$17" lockText="1" noThreeD="1"/>
</file>

<file path=xl/ctrlProps/ctrlProp26.xml><?xml version="1.0" encoding="utf-8"?>
<formControlPr xmlns="http://schemas.microsoft.com/office/spreadsheetml/2009/9/main" objectType="CheckBox" fmlaLink="$AG$18" lockText="1" noThreeD="1"/>
</file>

<file path=xl/ctrlProps/ctrlProp27.xml><?xml version="1.0" encoding="utf-8"?>
<formControlPr xmlns="http://schemas.microsoft.com/office/spreadsheetml/2009/9/main" objectType="CheckBox" fmlaLink="$AG$19" lockText="1" noThreeD="1"/>
</file>

<file path=xl/ctrlProps/ctrlProp28.xml><?xml version="1.0" encoding="utf-8"?>
<formControlPr xmlns="http://schemas.microsoft.com/office/spreadsheetml/2009/9/main" objectType="CheckBox" checked="Checked" fmlaLink="$AG$10" lockText="1" noThreeD="1"/>
</file>

<file path=xl/ctrlProps/ctrlProp29.xml><?xml version="1.0" encoding="utf-8"?>
<formControlPr xmlns="http://schemas.microsoft.com/office/spreadsheetml/2009/9/main" objectType="CheckBox" checked="Checked" fmlaLink="$AG$1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G$14" lockText="1" noThreeD="1"/>
</file>

<file path=xl/ctrlProps/ctrlProp31.xml><?xml version="1.0" encoding="utf-8"?>
<formControlPr xmlns="http://schemas.microsoft.com/office/spreadsheetml/2009/9/main" objectType="CheckBox" checked="Checked" fmlaLink="$AG$12" lockText="1" noThreeD="1"/>
</file>

<file path=xl/ctrlProps/ctrlProp32.xml><?xml version="1.0" encoding="utf-8"?>
<formControlPr xmlns="http://schemas.microsoft.com/office/spreadsheetml/2009/9/main" objectType="CheckBox" checked="Checked" fmlaLink="$AG$13" lockText="1" noThreeD="1"/>
</file>

<file path=xl/ctrlProps/ctrlProp33.xml><?xml version="1.0" encoding="utf-8"?>
<formControlPr xmlns="http://schemas.microsoft.com/office/spreadsheetml/2009/9/main" objectType="CheckBox" fmlaLink="$AG$8" lockText="1" noThreeD="1"/>
</file>

<file path=xl/ctrlProps/ctrlProp34.xml><?xml version="1.0" encoding="utf-8"?>
<formControlPr xmlns="http://schemas.microsoft.com/office/spreadsheetml/2009/9/main" objectType="CheckBox" fmlaLink="$AG$9" lockText="1" noThreeD="1"/>
</file>

<file path=xl/ctrlProps/ctrlProp35.xml><?xml version="1.0" encoding="utf-8"?>
<formControlPr xmlns="http://schemas.microsoft.com/office/spreadsheetml/2009/9/main" objectType="CheckBox" fmlaLink="$AG$15" lockText="1" noThreeD="1"/>
</file>

<file path=xl/ctrlProps/ctrlProp36.xml><?xml version="1.0" encoding="utf-8"?>
<formControlPr xmlns="http://schemas.microsoft.com/office/spreadsheetml/2009/9/main" objectType="CheckBox" fmlaLink="$AG$16" lockText="1" noThreeD="1"/>
</file>

<file path=xl/ctrlProps/ctrlProp37.xml><?xml version="1.0" encoding="utf-8"?>
<formControlPr xmlns="http://schemas.microsoft.com/office/spreadsheetml/2009/9/main" objectType="CheckBox" fmlaLink="$AG$17" lockText="1" noThreeD="1"/>
</file>

<file path=xl/ctrlProps/ctrlProp38.xml><?xml version="1.0" encoding="utf-8"?>
<formControlPr xmlns="http://schemas.microsoft.com/office/spreadsheetml/2009/9/main" objectType="CheckBox" fmlaLink="$AG$18" lockText="1" noThreeD="1"/>
</file>

<file path=xl/ctrlProps/ctrlProp39.xml><?xml version="1.0" encoding="utf-8"?>
<formControlPr xmlns="http://schemas.microsoft.com/office/spreadsheetml/2009/9/main" objectType="CheckBox" fmlaLink="$AG$19" lockText="1" noThreeD="1"/>
</file>

<file path=xl/ctrlProps/ctrlProp4.xml><?xml version="1.0" encoding="utf-8"?>
<formControlPr xmlns="http://schemas.microsoft.com/office/spreadsheetml/2009/9/main" objectType="CheckBox" checked="Checked" fmlaLink="$AG$8" lockText="1" noThreeD="1"/>
</file>

<file path=xl/ctrlProps/ctrlProp40.xml><?xml version="1.0" encoding="utf-8"?>
<formControlPr xmlns="http://schemas.microsoft.com/office/spreadsheetml/2009/9/main" objectType="CheckBox" fmlaLink="$AG$10" lockText="1" noThreeD="1"/>
</file>

<file path=xl/ctrlProps/ctrlProp41.xml><?xml version="1.0" encoding="utf-8"?>
<formControlPr xmlns="http://schemas.microsoft.com/office/spreadsheetml/2009/9/main" objectType="CheckBox" fmlaLink="$AG$11" lockText="1" noThreeD="1"/>
</file>

<file path=xl/ctrlProps/ctrlProp42.xml><?xml version="1.0" encoding="utf-8"?>
<formControlPr xmlns="http://schemas.microsoft.com/office/spreadsheetml/2009/9/main" objectType="CheckBox" fmlaLink="$AG$14" lockText="1" noThreeD="1"/>
</file>

<file path=xl/ctrlProps/ctrlProp43.xml><?xml version="1.0" encoding="utf-8"?>
<formControlPr xmlns="http://schemas.microsoft.com/office/spreadsheetml/2009/9/main" objectType="CheckBox" fmlaLink="$AD$33" lockText="1" noThreeD="1"/>
</file>

<file path=xl/ctrlProps/ctrlProp44.xml><?xml version="1.0" encoding="utf-8"?>
<formControlPr xmlns="http://schemas.microsoft.com/office/spreadsheetml/2009/9/main" objectType="CheckBox" fmlaLink="$AD$36" lockText="1" noThreeD="1"/>
</file>

<file path=xl/ctrlProps/ctrlProp45.xml><?xml version="1.0" encoding="utf-8"?>
<formControlPr xmlns="http://schemas.microsoft.com/office/spreadsheetml/2009/9/main" objectType="CheckBox" fmlaLink="$AD$37" lockText="1" noThreeD="1"/>
</file>

<file path=xl/ctrlProps/ctrlProp46.xml><?xml version="1.0" encoding="utf-8"?>
<formControlPr xmlns="http://schemas.microsoft.com/office/spreadsheetml/2009/9/main" objectType="CheckBox" fmlaLink="$AG$12" lockText="1" noThreeD="1"/>
</file>

<file path=xl/ctrlProps/ctrlProp47.xml><?xml version="1.0" encoding="utf-8"?>
<formControlPr xmlns="http://schemas.microsoft.com/office/spreadsheetml/2009/9/main" objectType="CheckBox" fmlaLink="$AG$13" lockText="1" noThreeD="1"/>
</file>

<file path=xl/ctrlProps/ctrlProp48.xml><?xml version="1.0" encoding="utf-8"?>
<formControlPr xmlns="http://schemas.microsoft.com/office/spreadsheetml/2009/9/main" objectType="CheckBox" fmlaLink="$AD$34" lockText="1" noThreeD="1"/>
</file>

<file path=xl/ctrlProps/ctrlProp49.xml><?xml version="1.0" encoding="utf-8"?>
<formControlPr xmlns="http://schemas.microsoft.com/office/spreadsheetml/2009/9/main" objectType="CheckBox" fmlaLink="$AD$35" lockText="1" noThreeD="1"/>
</file>

<file path=xl/ctrlProps/ctrlProp5.xml><?xml version="1.0" encoding="utf-8"?>
<formControlPr xmlns="http://schemas.microsoft.com/office/spreadsheetml/2009/9/main" objectType="CheckBox" checked="Checked" fmlaLink="$AG$9" lockText="1" noThreeD="1"/>
</file>

<file path=xl/ctrlProps/ctrlProp50.xml><?xml version="1.0" encoding="utf-8"?>
<formControlPr xmlns="http://schemas.microsoft.com/office/spreadsheetml/2009/9/main" objectType="CheckBox" fmlaLink="$AG$8" lockText="1" noThreeD="1"/>
</file>

<file path=xl/ctrlProps/ctrlProp51.xml><?xml version="1.0" encoding="utf-8"?>
<formControlPr xmlns="http://schemas.microsoft.com/office/spreadsheetml/2009/9/main" objectType="CheckBox" fmlaLink="$AG$9" lockText="1" noThreeD="1"/>
</file>

<file path=xl/ctrlProps/ctrlProp52.xml><?xml version="1.0" encoding="utf-8"?>
<formControlPr xmlns="http://schemas.microsoft.com/office/spreadsheetml/2009/9/main" objectType="CheckBox" fmlaLink="$AG$15" lockText="1" noThreeD="1"/>
</file>

<file path=xl/ctrlProps/ctrlProp53.xml><?xml version="1.0" encoding="utf-8"?>
<formControlPr xmlns="http://schemas.microsoft.com/office/spreadsheetml/2009/9/main" objectType="CheckBox" fmlaLink="$AG$16" lockText="1" noThreeD="1"/>
</file>

<file path=xl/ctrlProps/ctrlProp54.xml><?xml version="1.0" encoding="utf-8"?>
<formControlPr xmlns="http://schemas.microsoft.com/office/spreadsheetml/2009/9/main" objectType="CheckBox" fmlaLink="$AG$17" lockText="1" noThreeD="1"/>
</file>

<file path=xl/ctrlProps/ctrlProp55.xml><?xml version="1.0" encoding="utf-8"?>
<formControlPr xmlns="http://schemas.microsoft.com/office/spreadsheetml/2009/9/main" objectType="CheckBox" fmlaLink="$AG$18" lockText="1" noThreeD="1"/>
</file>

<file path=xl/ctrlProps/ctrlProp56.xml><?xml version="1.0" encoding="utf-8"?>
<formControlPr xmlns="http://schemas.microsoft.com/office/spreadsheetml/2009/9/main" objectType="CheckBox" fmlaLink="$AG$19" lockText="1" noThreeD="1"/>
</file>

<file path=xl/ctrlProps/ctrlProp57.xml><?xml version="1.0" encoding="utf-8"?>
<formControlPr xmlns="http://schemas.microsoft.com/office/spreadsheetml/2009/9/main" objectType="CheckBox" fmlaLink="$AG$10" lockText="1" noThreeD="1"/>
</file>

<file path=xl/ctrlProps/ctrlProp58.xml><?xml version="1.0" encoding="utf-8"?>
<formControlPr xmlns="http://schemas.microsoft.com/office/spreadsheetml/2009/9/main" objectType="CheckBox" fmlaLink="$AG$11" lockText="1" noThreeD="1"/>
</file>

<file path=xl/ctrlProps/ctrlProp59.xml><?xml version="1.0" encoding="utf-8"?>
<formControlPr xmlns="http://schemas.microsoft.com/office/spreadsheetml/2009/9/main" objectType="CheckBox" fmlaLink="$AG$14" lockText="1" noThreeD="1"/>
</file>

<file path=xl/ctrlProps/ctrlProp6.xml><?xml version="1.0" encoding="utf-8"?>
<formControlPr xmlns="http://schemas.microsoft.com/office/spreadsheetml/2009/9/main" objectType="CheckBox" fmlaLink="$AG$15" lockText="1" noThreeD="1"/>
</file>

<file path=xl/ctrlProps/ctrlProp60.xml><?xml version="1.0" encoding="utf-8"?>
<formControlPr xmlns="http://schemas.microsoft.com/office/spreadsheetml/2009/9/main" objectType="CheckBox" fmlaLink="$AD$33" lockText="1" noThreeD="1"/>
</file>

<file path=xl/ctrlProps/ctrlProp61.xml><?xml version="1.0" encoding="utf-8"?>
<formControlPr xmlns="http://schemas.microsoft.com/office/spreadsheetml/2009/9/main" objectType="CheckBox" fmlaLink="$AD$36" lockText="1" noThreeD="1"/>
</file>

<file path=xl/ctrlProps/ctrlProp62.xml><?xml version="1.0" encoding="utf-8"?>
<formControlPr xmlns="http://schemas.microsoft.com/office/spreadsheetml/2009/9/main" objectType="CheckBox" fmlaLink="$AD$37" lockText="1" noThreeD="1"/>
</file>

<file path=xl/ctrlProps/ctrlProp63.xml><?xml version="1.0" encoding="utf-8"?>
<formControlPr xmlns="http://schemas.microsoft.com/office/spreadsheetml/2009/9/main" objectType="CheckBox" fmlaLink="$AG$12" lockText="1" noThreeD="1"/>
</file>

<file path=xl/ctrlProps/ctrlProp64.xml><?xml version="1.0" encoding="utf-8"?>
<formControlPr xmlns="http://schemas.microsoft.com/office/spreadsheetml/2009/9/main" objectType="CheckBox" fmlaLink="$AG$13" lockText="1" noThreeD="1"/>
</file>

<file path=xl/ctrlProps/ctrlProp65.xml><?xml version="1.0" encoding="utf-8"?>
<formControlPr xmlns="http://schemas.microsoft.com/office/spreadsheetml/2009/9/main" objectType="CheckBox" fmlaLink="$AD$34" lockText="1" noThreeD="1"/>
</file>

<file path=xl/ctrlProps/ctrlProp66.xml><?xml version="1.0" encoding="utf-8"?>
<formControlPr xmlns="http://schemas.microsoft.com/office/spreadsheetml/2009/9/main" objectType="CheckBox" fmlaLink="$AD$35" lockText="1" noThreeD="1"/>
</file>

<file path=xl/ctrlProps/ctrlProp67.xml><?xml version="1.0" encoding="utf-8"?>
<formControlPr xmlns="http://schemas.microsoft.com/office/spreadsheetml/2009/9/main" objectType="CheckBox" fmlaLink="$AG$8" lockText="1" noThreeD="1"/>
</file>

<file path=xl/ctrlProps/ctrlProp68.xml><?xml version="1.0" encoding="utf-8"?>
<formControlPr xmlns="http://schemas.microsoft.com/office/spreadsheetml/2009/9/main" objectType="CheckBox" fmlaLink="$AG$9" lockText="1" noThreeD="1"/>
</file>

<file path=xl/ctrlProps/ctrlProp69.xml><?xml version="1.0" encoding="utf-8"?>
<formControlPr xmlns="http://schemas.microsoft.com/office/spreadsheetml/2009/9/main" objectType="CheckBox" fmlaLink="$AG$15" lockText="1" noThreeD="1"/>
</file>

<file path=xl/ctrlProps/ctrlProp7.xml><?xml version="1.0" encoding="utf-8"?>
<formControlPr xmlns="http://schemas.microsoft.com/office/spreadsheetml/2009/9/main" objectType="CheckBox" fmlaLink="$AG$16" lockText="1" noThreeD="1"/>
</file>

<file path=xl/ctrlProps/ctrlProp70.xml><?xml version="1.0" encoding="utf-8"?>
<formControlPr xmlns="http://schemas.microsoft.com/office/spreadsheetml/2009/9/main" objectType="CheckBox" fmlaLink="$AG$16" lockText="1" noThreeD="1"/>
</file>

<file path=xl/ctrlProps/ctrlProp71.xml><?xml version="1.0" encoding="utf-8"?>
<formControlPr xmlns="http://schemas.microsoft.com/office/spreadsheetml/2009/9/main" objectType="CheckBox" fmlaLink="$AG$17" lockText="1" noThreeD="1"/>
</file>

<file path=xl/ctrlProps/ctrlProp72.xml><?xml version="1.0" encoding="utf-8"?>
<formControlPr xmlns="http://schemas.microsoft.com/office/spreadsheetml/2009/9/main" objectType="CheckBox" fmlaLink="$AG$18" lockText="1" noThreeD="1"/>
</file>

<file path=xl/ctrlProps/ctrlProp73.xml><?xml version="1.0" encoding="utf-8"?>
<formControlPr xmlns="http://schemas.microsoft.com/office/spreadsheetml/2009/9/main" objectType="CheckBox" fmlaLink="$AG$19" lockText="1" noThreeD="1"/>
</file>

<file path=xl/ctrlProps/ctrlProp74.xml><?xml version="1.0" encoding="utf-8"?>
<formControlPr xmlns="http://schemas.microsoft.com/office/spreadsheetml/2009/9/main" objectType="CheckBox" fmlaLink="$AG$10" lockText="1" noThreeD="1"/>
</file>

<file path=xl/ctrlProps/ctrlProp75.xml><?xml version="1.0" encoding="utf-8"?>
<formControlPr xmlns="http://schemas.microsoft.com/office/spreadsheetml/2009/9/main" objectType="CheckBox" fmlaLink="$AG$11" lockText="1" noThreeD="1"/>
</file>

<file path=xl/ctrlProps/ctrlProp76.xml><?xml version="1.0" encoding="utf-8"?>
<formControlPr xmlns="http://schemas.microsoft.com/office/spreadsheetml/2009/9/main" objectType="CheckBox" fmlaLink="$AG$14" lockText="1" noThreeD="1"/>
</file>

<file path=xl/ctrlProps/ctrlProp77.xml><?xml version="1.0" encoding="utf-8"?>
<formControlPr xmlns="http://schemas.microsoft.com/office/spreadsheetml/2009/9/main" objectType="CheckBox" fmlaLink="$AD$33" lockText="1" noThreeD="1"/>
</file>

<file path=xl/ctrlProps/ctrlProp78.xml><?xml version="1.0" encoding="utf-8"?>
<formControlPr xmlns="http://schemas.microsoft.com/office/spreadsheetml/2009/9/main" objectType="CheckBox" fmlaLink="$AD$36" lockText="1" noThreeD="1"/>
</file>

<file path=xl/ctrlProps/ctrlProp79.xml><?xml version="1.0" encoding="utf-8"?>
<formControlPr xmlns="http://schemas.microsoft.com/office/spreadsheetml/2009/9/main" objectType="CheckBox" fmlaLink="$AD$37" lockText="1" noThreeD="1"/>
</file>

<file path=xl/ctrlProps/ctrlProp8.xml><?xml version="1.0" encoding="utf-8"?>
<formControlPr xmlns="http://schemas.microsoft.com/office/spreadsheetml/2009/9/main" objectType="CheckBox" fmlaLink="$AG$17" lockText="1" noThreeD="1"/>
</file>

<file path=xl/ctrlProps/ctrlProp80.xml><?xml version="1.0" encoding="utf-8"?>
<formControlPr xmlns="http://schemas.microsoft.com/office/spreadsheetml/2009/9/main" objectType="CheckBox" fmlaLink="$AG$12" lockText="1" noThreeD="1"/>
</file>

<file path=xl/ctrlProps/ctrlProp81.xml><?xml version="1.0" encoding="utf-8"?>
<formControlPr xmlns="http://schemas.microsoft.com/office/spreadsheetml/2009/9/main" objectType="CheckBox" fmlaLink="$AG$13" lockText="1" noThreeD="1"/>
</file>

<file path=xl/ctrlProps/ctrlProp82.xml><?xml version="1.0" encoding="utf-8"?>
<formControlPr xmlns="http://schemas.microsoft.com/office/spreadsheetml/2009/9/main" objectType="CheckBox" fmlaLink="$AD$34" lockText="1" noThreeD="1"/>
</file>

<file path=xl/ctrlProps/ctrlProp83.xml><?xml version="1.0" encoding="utf-8"?>
<formControlPr xmlns="http://schemas.microsoft.com/office/spreadsheetml/2009/9/main" objectType="CheckBox" fmlaLink="$AD$35" lockText="1" noThreeD="1"/>
</file>

<file path=xl/ctrlProps/ctrlProp84.xml><?xml version="1.0" encoding="utf-8"?>
<formControlPr xmlns="http://schemas.microsoft.com/office/spreadsheetml/2009/9/main" objectType="CheckBox" checked="Checked" fmlaLink="$AG$8" lockText="1" noThreeD="1"/>
</file>

<file path=xl/ctrlProps/ctrlProp85.xml><?xml version="1.0" encoding="utf-8"?>
<formControlPr xmlns="http://schemas.microsoft.com/office/spreadsheetml/2009/9/main" objectType="CheckBox" checked="Checked" fmlaLink="$AG$9" lockText="1" noThreeD="1"/>
</file>

<file path=xl/ctrlProps/ctrlProp86.xml><?xml version="1.0" encoding="utf-8"?>
<formControlPr xmlns="http://schemas.microsoft.com/office/spreadsheetml/2009/9/main" objectType="CheckBox" checked="Checked" fmlaLink="$AG$15" lockText="1" noThreeD="1"/>
</file>

<file path=xl/ctrlProps/ctrlProp87.xml><?xml version="1.0" encoding="utf-8"?>
<formControlPr xmlns="http://schemas.microsoft.com/office/spreadsheetml/2009/9/main" objectType="CheckBox" fmlaLink="$AG$16" lockText="1" noThreeD="1"/>
</file>

<file path=xl/ctrlProps/ctrlProp88.xml><?xml version="1.0" encoding="utf-8"?>
<formControlPr xmlns="http://schemas.microsoft.com/office/spreadsheetml/2009/9/main" objectType="CheckBox" fmlaLink="$AG$17" lockText="1" noThreeD="1"/>
</file>

<file path=xl/ctrlProps/ctrlProp89.xml><?xml version="1.0" encoding="utf-8"?>
<formControlPr xmlns="http://schemas.microsoft.com/office/spreadsheetml/2009/9/main" objectType="CheckBox" fmlaLink="$AG$18" lockText="1" noThreeD="1"/>
</file>

<file path=xl/ctrlProps/ctrlProp9.xml><?xml version="1.0" encoding="utf-8"?>
<formControlPr xmlns="http://schemas.microsoft.com/office/spreadsheetml/2009/9/main" objectType="CheckBox" fmlaLink="$AG$18" lockText="1" noThreeD="1"/>
</file>

<file path=xl/ctrlProps/ctrlProp90.xml><?xml version="1.0" encoding="utf-8"?>
<formControlPr xmlns="http://schemas.microsoft.com/office/spreadsheetml/2009/9/main" objectType="CheckBox" fmlaLink="$AG$19" lockText="1" noThreeD="1"/>
</file>

<file path=xl/ctrlProps/ctrlProp91.xml><?xml version="1.0" encoding="utf-8"?>
<formControlPr xmlns="http://schemas.microsoft.com/office/spreadsheetml/2009/9/main" objectType="CheckBox" checked="Checked" fmlaLink="$AG$10" lockText="1" noThreeD="1"/>
</file>

<file path=xl/ctrlProps/ctrlProp92.xml><?xml version="1.0" encoding="utf-8"?>
<formControlPr xmlns="http://schemas.microsoft.com/office/spreadsheetml/2009/9/main" objectType="CheckBox" checked="Checked" fmlaLink="$AG$11" lockText="1" noThreeD="1"/>
</file>

<file path=xl/ctrlProps/ctrlProp93.xml><?xml version="1.0" encoding="utf-8"?>
<formControlPr xmlns="http://schemas.microsoft.com/office/spreadsheetml/2009/9/main" objectType="CheckBox" checked="Checked" fmlaLink="$AG$14" lockText="1" noThreeD="1"/>
</file>

<file path=xl/ctrlProps/ctrlProp94.xml><?xml version="1.0" encoding="utf-8"?>
<formControlPr xmlns="http://schemas.microsoft.com/office/spreadsheetml/2009/9/main" objectType="CheckBox" fmlaLink="$AD$33" lockText="1" noThreeD="1"/>
</file>

<file path=xl/ctrlProps/ctrlProp95.xml><?xml version="1.0" encoding="utf-8"?>
<formControlPr xmlns="http://schemas.microsoft.com/office/spreadsheetml/2009/9/main" objectType="CheckBox" fmlaLink="$AD$36" lockText="1" noThreeD="1"/>
</file>

<file path=xl/ctrlProps/ctrlProp96.xml><?xml version="1.0" encoding="utf-8"?>
<formControlPr xmlns="http://schemas.microsoft.com/office/spreadsheetml/2009/9/main" objectType="CheckBox" fmlaLink="$AD$37" lockText="1" noThreeD="1"/>
</file>

<file path=xl/ctrlProps/ctrlProp97.xml><?xml version="1.0" encoding="utf-8"?>
<formControlPr xmlns="http://schemas.microsoft.com/office/spreadsheetml/2009/9/main" objectType="CheckBox" checked="Checked" fmlaLink="$AG$12" lockText="1" noThreeD="1"/>
</file>

<file path=xl/ctrlProps/ctrlProp98.xml><?xml version="1.0" encoding="utf-8"?>
<formControlPr xmlns="http://schemas.microsoft.com/office/spreadsheetml/2009/9/main" objectType="CheckBox" checked="Checked" fmlaLink="$AG$13" lockText="1" noThreeD="1"/>
</file>

<file path=xl/ctrlProps/ctrlProp99.xml><?xml version="1.0" encoding="utf-8"?>
<formControlPr xmlns="http://schemas.microsoft.com/office/spreadsheetml/2009/9/main" objectType="CheckBox" fmlaLink="$AD$34" lockText="1" noThreeD="1"/>
</file>

<file path=xl/drawings/_rels/drawing10.xml.rels>&#65279;<?xml version="1.0" encoding="utf-8" standalone="yes"?>
<Relationships xmlns="http://schemas.openxmlformats.org/package/2006/relationships">
  <Relationship Id="rId1" Type="http://schemas.openxmlformats.org/officeDocument/2006/relationships/image" Target="../media/image3.emf" />
</Relationships>
</file>

<file path=xl/drawings/_rels/drawing2.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3.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4.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5.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6.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7.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8.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_rels/drawing9.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30480</xdr:colOff>
          <xdr:row>15</xdr:row>
          <xdr:rowOff>83820</xdr:rowOff>
        </xdr:from>
        <xdr:to>
          <xdr:col>26</xdr:col>
          <xdr:colOff>60960</xdr:colOff>
          <xdr:row>15</xdr:row>
          <xdr:rowOff>297180</xdr:rowOff>
        </xdr:to>
        <xdr:sp macro="" textlink="">
          <xdr:nvSpPr>
            <xdr:cNvPr id="94214" name="Option Button 6" hidden="1">
              <a:extLst>
                <a:ext uri="{63B3BB69-23CF-44E3-9099-C40C66FF867C}">
                  <a14:compatExt spid="_x0000_s94214"/>
                </a:ext>
                <a:ext uri="{FF2B5EF4-FFF2-40B4-BE49-F238E27FC236}">
                  <a16:creationId xmlns:a16="http://schemas.microsoft.com/office/drawing/2014/main" id="{00000000-0008-0000-0100-00000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16</xdr:row>
          <xdr:rowOff>83820</xdr:rowOff>
        </xdr:from>
        <xdr:to>
          <xdr:col>26</xdr:col>
          <xdr:colOff>60960</xdr:colOff>
          <xdr:row>16</xdr:row>
          <xdr:rowOff>297180</xdr:rowOff>
        </xdr:to>
        <xdr:sp macro="" textlink="">
          <xdr:nvSpPr>
            <xdr:cNvPr id="94215" name="Option Button 7" hidden="1">
              <a:extLst>
                <a:ext uri="{63B3BB69-23CF-44E3-9099-C40C66FF867C}">
                  <a14:compatExt spid="_x0000_s94215"/>
                </a:ext>
                <a:ext uri="{FF2B5EF4-FFF2-40B4-BE49-F238E27FC236}">
                  <a16:creationId xmlns:a16="http://schemas.microsoft.com/office/drawing/2014/main" id="{00000000-0008-0000-0100-00000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17</xdr:row>
          <xdr:rowOff>83820</xdr:rowOff>
        </xdr:from>
        <xdr:to>
          <xdr:col>26</xdr:col>
          <xdr:colOff>60960</xdr:colOff>
          <xdr:row>17</xdr:row>
          <xdr:rowOff>297180</xdr:rowOff>
        </xdr:to>
        <xdr:sp macro="" textlink="">
          <xdr:nvSpPr>
            <xdr:cNvPr id="94216" name="Option Button 8" hidden="1">
              <a:extLst>
                <a:ext uri="{63B3BB69-23CF-44E3-9099-C40C66FF867C}">
                  <a14:compatExt spid="_x0000_s94216"/>
                </a:ext>
                <a:ext uri="{FF2B5EF4-FFF2-40B4-BE49-F238E27FC236}">
                  <a16:creationId xmlns:a16="http://schemas.microsoft.com/office/drawing/2014/main" id="{00000000-0008-0000-0100-00000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5</xdr:col>
      <xdr:colOff>247650</xdr:colOff>
      <xdr:row>34</xdr:row>
      <xdr:rowOff>9525</xdr:rowOff>
    </xdr:from>
    <xdr:to>
      <xdr:col>24</xdr:col>
      <xdr:colOff>85725</xdr:colOff>
      <xdr:row>43</xdr:row>
      <xdr:rowOff>161925</xdr:rowOff>
    </xdr:to>
    <xdr:pic>
      <xdr:nvPicPr>
        <xdr:cNvPr id="107725" name="Picture 4">
          <a:extLst>
            <a:ext uri="{FF2B5EF4-FFF2-40B4-BE49-F238E27FC236}">
              <a16:creationId xmlns:a16="http://schemas.microsoft.com/office/drawing/2014/main" id="{00000000-0008-0000-0B00-0000CDA4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750" y="8315325"/>
          <a:ext cx="5086350" cy="2381250"/>
        </a:xfrm>
        <a:prstGeom prst="rect">
          <a:avLst/>
        </a:prstGeom>
        <a:noFill/>
        <a:ln w="9525">
          <a:noFill/>
          <a:miter lim="800000"/>
          <a:headEnd/>
          <a:tailEnd/>
        </a:ln>
      </xdr:spPr>
    </xdr:pic>
    <xdr:clientData/>
  </xdr:twoCellAnchor>
  <xdr:twoCellAnchor>
    <xdr:from>
      <xdr:col>20</xdr:col>
      <xdr:colOff>273340</xdr:colOff>
      <xdr:row>4</xdr:row>
      <xdr:rowOff>4271</xdr:rowOff>
    </xdr:from>
    <xdr:to>
      <xdr:col>27</xdr:col>
      <xdr:colOff>200025</xdr:colOff>
      <xdr:row>9</xdr:row>
      <xdr:rowOff>200025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bwMode="auto">
        <a:xfrm>
          <a:off x="5597815" y="880571"/>
          <a:ext cx="1860260" cy="1434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1)</a:t>
          </a:r>
          <a:r>
            <a:rPr kumimoji="1" lang="ja-JP" altLang="en-US" sz="1000"/>
            <a:t>土間床等面積の算出</a:t>
          </a:r>
          <a:endParaRPr kumimoji="1" lang="en-US" altLang="ja-JP" sz="1000"/>
        </a:p>
        <a:p>
          <a:pPr>
            <a:lnSpc>
              <a:spcPts val="500"/>
            </a:lnSpc>
          </a:pPr>
          <a:endParaRPr kumimoji="1" lang="en-US" altLang="ja-JP" sz="1000"/>
        </a:p>
        <a:p>
          <a:pPr>
            <a:lnSpc>
              <a:spcPts val="1100"/>
            </a:lnSpc>
          </a:pPr>
          <a:r>
            <a:rPr kumimoji="1" lang="ja-JP" altLang="en-US" sz="1000"/>
            <a:t>　基礎断熱の場合</a:t>
          </a:r>
          <a:endParaRPr kumimoji="1" lang="en-US" altLang="ja-JP" sz="1000"/>
        </a:p>
        <a:p>
          <a:pPr>
            <a:lnSpc>
              <a:spcPts val="1100"/>
            </a:lnSpc>
          </a:pPr>
          <a:r>
            <a:rPr kumimoji="1" lang="ja-JP" altLang="en-US" sz="1000"/>
            <a:t>　　Ｌ１</a:t>
          </a:r>
          <a:r>
            <a:rPr kumimoji="1" lang="en-US" altLang="ja-JP" sz="1000"/>
            <a:t>×</a:t>
          </a:r>
          <a:r>
            <a:rPr kumimoji="1" lang="ja-JP" altLang="en-US" sz="1000"/>
            <a:t>Ｌ２</a:t>
          </a:r>
          <a:endParaRPr kumimoji="1" lang="en-US" altLang="ja-JP" sz="1000"/>
        </a:p>
        <a:p>
          <a:pPr>
            <a:lnSpc>
              <a:spcPts val="1100"/>
            </a:lnSpc>
          </a:pPr>
          <a:r>
            <a:rPr kumimoji="1" lang="ja-JP" altLang="en-US" sz="1000"/>
            <a:t>　土間床部分の場合</a:t>
          </a:r>
          <a:endParaRPr kumimoji="1" lang="en-US" altLang="ja-JP" sz="1000"/>
        </a:p>
        <a:p>
          <a:pPr>
            <a:lnSpc>
              <a:spcPts val="1100"/>
            </a:lnSpc>
          </a:pPr>
          <a:r>
            <a:rPr kumimoji="1" lang="ja-JP" altLang="en-US" sz="1000"/>
            <a:t>　　Ｌ３</a:t>
          </a:r>
          <a:r>
            <a:rPr kumimoji="1" lang="en-US" altLang="ja-JP" sz="1000"/>
            <a:t>×</a:t>
          </a:r>
          <a:r>
            <a:rPr kumimoji="1" lang="ja-JP" altLang="en-US" sz="1000"/>
            <a:t>Ｌ４</a:t>
          </a:r>
          <a:endParaRPr kumimoji="1" lang="en-US" altLang="ja-JP" sz="1000"/>
        </a:p>
        <a:p>
          <a:pPr>
            <a:lnSpc>
              <a:spcPts val="1100"/>
            </a:lnSpc>
          </a:pPr>
          <a:r>
            <a:rPr kumimoji="1" lang="ja-JP" altLang="en-US" sz="1000"/>
            <a:t>　を求め入力する。</a:t>
          </a:r>
        </a:p>
      </xdr:txBody>
    </xdr:sp>
    <xdr:clientData/>
  </xdr:twoCellAnchor>
  <xdr:twoCellAnchor>
    <xdr:from>
      <xdr:col>21</xdr:col>
      <xdr:colOff>10602</xdr:colOff>
      <xdr:row>9</xdr:row>
      <xdr:rowOff>4272</xdr:rowOff>
    </xdr:from>
    <xdr:to>
      <xdr:col>28</xdr:col>
      <xdr:colOff>47625</xdr:colOff>
      <xdr:row>15</xdr:row>
      <xdr:rowOff>104775</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bwMode="auto">
        <a:xfrm>
          <a:off x="5611302" y="2118822"/>
          <a:ext cx="1970598" cy="158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3)</a:t>
          </a:r>
          <a:r>
            <a:rPr kumimoji="1" lang="ja-JP" altLang="en-US" sz="1000"/>
            <a:t>基礎外周長さＬの算出</a:t>
          </a:r>
          <a:endParaRPr kumimoji="1" lang="en-US" altLang="ja-JP" sz="1000"/>
        </a:p>
        <a:p>
          <a:pPr>
            <a:lnSpc>
              <a:spcPts val="500"/>
            </a:lnSpc>
          </a:pPr>
          <a:endParaRPr kumimoji="1" lang="en-US" altLang="ja-JP" sz="1000"/>
        </a:p>
        <a:p>
          <a:pPr>
            <a:lnSpc>
              <a:spcPts val="1100"/>
            </a:lnSpc>
          </a:pPr>
          <a:r>
            <a:rPr kumimoji="1" lang="ja-JP" altLang="en-US" sz="1000"/>
            <a:t>　基礎断熱の場合</a:t>
          </a:r>
          <a:endParaRPr kumimoji="1" lang="en-US" altLang="ja-JP" sz="1000"/>
        </a:p>
        <a:p>
          <a:pPr>
            <a:lnSpc>
              <a:spcPts val="1100"/>
            </a:lnSpc>
          </a:pPr>
          <a:r>
            <a:rPr kumimoji="1" lang="ja-JP" altLang="en-US" sz="1000"/>
            <a:t>　　（Ｌ１＋Ｌ２）</a:t>
          </a:r>
          <a:r>
            <a:rPr kumimoji="1" lang="en-US" altLang="ja-JP" sz="1000"/>
            <a:t>×</a:t>
          </a:r>
          <a:r>
            <a:rPr kumimoji="1" lang="ja-JP" altLang="en-US" sz="1000"/>
            <a:t>２＝Ｌ</a:t>
          </a:r>
          <a:endParaRPr kumimoji="1" lang="en-US" altLang="ja-JP" sz="1000"/>
        </a:p>
        <a:p>
          <a:pPr>
            <a:lnSpc>
              <a:spcPts val="1100"/>
            </a:lnSpc>
          </a:pPr>
          <a:r>
            <a:rPr kumimoji="1" lang="ja-JP" altLang="en-US" sz="1000"/>
            <a:t>　土間床部分の場合</a:t>
          </a:r>
          <a:endParaRPr kumimoji="1" lang="en-US" altLang="ja-JP" sz="1000"/>
        </a:p>
        <a:p>
          <a:pPr>
            <a:lnSpc>
              <a:spcPts val="1100"/>
            </a:lnSpc>
          </a:pPr>
          <a:r>
            <a:rPr kumimoji="1" lang="ja-JP" altLang="en-US" sz="1000"/>
            <a:t>　　・温度差係数</a:t>
          </a:r>
          <a:r>
            <a:rPr kumimoji="1" lang="en-US" altLang="ja-JP" sz="1000"/>
            <a:t>0.7</a:t>
          </a:r>
          <a:r>
            <a:rPr kumimoji="1" lang="ja-JP" altLang="en-US" sz="1000"/>
            <a:t>の部分</a:t>
          </a:r>
          <a:endParaRPr kumimoji="1" lang="en-US" altLang="ja-JP" sz="1000"/>
        </a:p>
        <a:p>
          <a:pPr>
            <a:lnSpc>
              <a:spcPts val="1100"/>
            </a:lnSpc>
          </a:pPr>
          <a:r>
            <a:rPr kumimoji="1" lang="ja-JP" altLang="en-US" sz="1000"/>
            <a:t>　　　Ｌ３＋Ｌ４</a:t>
          </a:r>
          <a:r>
            <a:rPr kumimoji="1" lang="en-US" altLang="ja-JP" sz="1000"/>
            <a:t>×</a:t>
          </a:r>
          <a:r>
            <a:rPr kumimoji="1" lang="ja-JP" altLang="en-US" sz="1000"/>
            <a:t>２＝Ｌ</a:t>
          </a:r>
          <a:endParaRPr kumimoji="1" lang="en-US" altLang="ja-JP" sz="1000"/>
        </a:p>
        <a:p>
          <a:pPr>
            <a:lnSpc>
              <a:spcPts val="1100"/>
            </a:lnSpc>
          </a:pPr>
          <a:r>
            <a:rPr kumimoji="1" lang="ja-JP" altLang="en-US" sz="1000"/>
            <a:t>　　・温度差係数</a:t>
          </a:r>
          <a:r>
            <a:rPr kumimoji="1" lang="en-US" altLang="ja-JP" sz="1000"/>
            <a:t>1.0</a:t>
          </a:r>
          <a:r>
            <a:rPr kumimoji="1" lang="ja-JP" altLang="en-US" sz="1000"/>
            <a:t>の部分</a:t>
          </a:r>
          <a:endParaRPr kumimoji="1" lang="en-US" altLang="ja-JP" sz="1000"/>
        </a:p>
        <a:p>
          <a:pPr>
            <a:lnSpc>
              <a:spcPts val="1100"/>
            </a:lnSpc>
          </a:pPr>
          <a:r>
            <a:rPr kumimoji="1" lang="ja-JP" altLang="en-US" sz="1000">
              <a:solidFill>
                <a:schemeClr val="dk1"/>
              </a:solidFill>
              <a:latin typeface="+mn-lt"/>
              <a:ea typeface="+mn-ea"/>
              <a:cs typeface="+mn-cs"/>
            </a:rPr>
            <a:t>　　　</a:t>
          </a:r>
          <a:r>
            <a:rPr kumimoji="1" lang="ja-JP" altLang="ja-JP" sz="1000">
              <a:solidFill>
                <a:schemeClr val="dk1"/>
              </a:solidFill>
              <a:latin typeface="+mn-lt"/>
              <a:ea typeface="+mn-ea"/>
              <a:cs typeface="+mn-cs"/>
            </a:rPr>
            <a:t>Ｌ３＝Ｌ</a:t>
          </a:r>
          <a:endParaRPr kumimoji="1" lang="en-US" altLang="ja-JP" sz="1000"/>
        </a:p>
        <a:p>
          <a:pPr>
            <a:lnSpc>
              <a:spcPts val="1100"/>
            </a:lnSpc>
          </a:pPr>
          <a:r>
            <a:rPr kumimoji="1" lang="ja-JP" altLang="en-US" sz="1000"/>
            <a:t>　として入力する。</a:t>
          </a:r>
        </a:p>
      </xdr:txBody>
    </xdr:sp>
    <xdr:clientData/>
  </xdr:twoCellAnchor>
  <xdr:twoCellAnchor>
    <xdr:from>
      <xdr:col>10</xdr:col>
      <xdr:colOff>0</xdr:colOff>
      <xdr:row>2</xdr:row>
      <xdr:rowOff>180975</xdr:rowOff>
    </xdr:from>
    <xdr:to>
      <xdr:col>20</xdr:col>
      <xdr:colOff>142875</xdr:colOff>
      <xdr:row>11</xdr:row>
      <xdr:rowOff>219075</xdr:rowOff>
    </xdr:to>
    <xdr:grpSp>
      <xdr:nvGrpSpPr>
        <xdr:cNvPr id="107728" name="グループ化 32">
          <a:extLst>
            <a:ext uri="{FF2B5EF4-FFF2-40B4-BE49-F238E27FC236}">
              <a16:creationId xmlns:a16="http://schemas.microsoft.com/office/drawing/2014/main" id="{00000000-0008-0000-0B00-0000D0A40100}"/>
            </a:ext>
          </a:extLst>
        </xdr:cNvPr>
        <xdr:cNvGrpSpPr>
          <a:grpSpLocks/>
        </xdr:cNvGrpSpPr>
      </xdr:nvGrpSpPr>
      <xdr:grpSpPr bwMode="auto">
        <a:xfrm>
          <a:off x="2377440" y="607695"/>
          <a:ext cx="2657475" cy="2301240"/>
          <a:chOff x="159196" y="7833807"/>
          <a:chExt cx="3651576" cy="2925781"/>
        </a:xfrm>
      </xdr:grpSpPr>
      <xdr:sp macro="" textlink="">
        <xdr:nvSpPr>
          <xdr:cNvPr id="6" name="正方形/長方形 5">
            <a:extLst>
              <a:ext uri="{FF2B5EF4-FFF2-40B4-BE49-F238E27FC236}">
                <a16:creationId xmlns:a16="http://schemas.microsoft.com/office/drawing/2014/main" id="{00000000-0008-0000-0B00-000006000000}"/>
              </a:ext>
            </a:extLst>
          </xdr:cNvPr>
          <xdr:cNvSpPr/>
        </xdr:nvSpPr>
        <xdr:spPr bwMode="auto">
          <a:xfrm>
            <a:off x="674008" y="8276362"/>
            <a:ext cx="3017040" cy="2040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grpSp>
        <xdr:nvGrpSpPr>
          <xdr:cNvPr id="107730" name="グループ化 31">
            <a:extLst>
              <a:ext uri="{FF2B5EF4-FFF2-40B4-BE49-F238E27FC236}">
                <a16:creationId xmlns:a16="http://schemas.microsoft.com/office/drawing/2014/main" id="{00000000-0008-0000-0B00-0000D2A40100}"/>
              </a:ext>
            </a:extLst>
          </xdr:cNvPr>
          <xdr:cNvGrpSpPr>
            <a:grpSpLocks/>
          </xdr:cNvGrpSpPr>
        </xdr:nvGrpSpPr>
        <xdr:grpSpPr bwMode="auto">
          <a:xfrm>
            <a:off x="159196" y="7833807"/>
            <a:ext cx="3651576" cy="2925781"/>
            <a:chOff x="158330" y="7875352"/>
            <a:chExt cx="3704371" cy="2942000"/>
          </a:xfrm>
        </xdr:grpSpPr>
        <xdr:sp macro="" textlink="">
          <xdr:nvSpPr>
            <xdr:cNvPr id="8" name="正方形/長方形 7">
              <a:extLst>
                <a:ext uri="{FF2B5EF4-FFF2-40B4-BE49-F238E27FC236}">
                  <a16:creationId xmlns:a16="http://schemas.microsoft.com/office/drawing/2014/main" id="{00000000-0008-0000-0B00-000008000000}"/>
                </a:ext>
              </a:extLst>
            </xdr:cNvPr>
            <xdr:cNvSpPr/>
          </xdr:nvSpPr>
          <xdr:spPr bwMode="auto">
            <a:xfrm>
              <a:off x="802040" y="8443974"/>
              <a:ext cx="935202" cy="7045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B00-000009000000}"/>
                </a:ext>
              </a:extLst>
            </xdr:cNvPr>
            <xdr:cNvSpPr/>
          </xdr:nvSpPr>
          <xdr:spPr bwMode="auto">
            <a:xfrm>
              <a:off x="802040" y="9247461"/>
              <a:ext cx="935202" cy="10259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B00-00000A000000}"/>
                </a:ext>
              </a:extLst>
            </xdr:cNvPr>
            <xdr:cNvSpPr/>
          </xdr:nvSpPr>
          <xdr:spPr bwMode="auto">
            <a:xfrm>
              <a:off x="1846552" y="8443974"/>
              <a:ext cx="898765" cy="14339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1" name="正方形/長方形 10">
              <a:extLst>
                <a:ext uri="{FF2B5EF4-FFF2-40B4-BE49-F238E27FC236}">
                  <a16:creationId xmlns:a16="http://schemas.microsoft.com/office/drawing/2014/main" id="{00000000-0008-0000-0B00-00000B000000}"/>
                </a:ext>
              </a:extLst>
            </xdr:cNvPr>
            <xdr:cNvSpPr/>
          </xdr:nvSpPr>
          <xdr:spPr bwMode="auto">
            <a:xfrm>
              <a:off x="1846552" y="9976781"/>
              <a:ext cx="898765" cy="296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2" name="正方形/長方形 11">
              <a:extLst>
                <a:ext uri="{FF2B5EF4-FFF2-40B4-BE49-F238E27FC236}">
                  <a16:creationId xmlns:a16="http://schemas.microsoft.com/office/drawing/2014/main" id="{00000000-0008-0000-0B00-00000C000000}"/>
                </a:ext>
              </a:extLst>
            </xdr:cNvPr>
            <xdr:cNvSpPr/>
          </xdr:nvSpPr>
          <xdr:spPr bwMode="auto">
            <a:xfrm>
              <a:off x="2866772" y="8443974"/>
              <a:ext cx="753020" cy="7540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3" name="正方形/長方形 12">
              <a:extLst>
                <a:ext uri="{FF2B5EF4-FFF2-40B4-BE49-F238E27FC236}">
                  <a16:creationId xmlns:a16="http://schemas.microsoft.com/office/drawing/2014/main" id="{00000000-0008-0000-0B00-00000D000000}"/>
                </a:ext>
              </a:extLst>
            </xdr:cNvPr>
            <xdr:cNvSpPr/>
          </xdr:nvSpPr>
          <xdr:spPr bwMode="auto">
            <a:xfrm>
              <a:off x="2866772" y="9309268"/>
              <a:ext cx="753020" cy="9641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xnSp macro="">
          <xdr:nvCxnSpPr>
            <xdr:cNvPr id="14" name="直線コネクタ 13">
              <a:extLst>
                <a:ext uri="{FF2B5EF4-FFF2-40B4-BE49-F238E27FC236}">
                  <a16:creationId xmlns:a16="http://schemas.microsoft.com/office/drawing/2014/main" id="{00000000-0008-0000-0B00-00000E000000}"/>
                </a:ext>
              </a:extLst>
            </xdr:cNvPr>
            <xdr:cNvCxnSpPr/>
          </xdr:nvCxnSpPr>
          <xdr:spPr bwMode="auto">
            <a:xfrm>
              <a:off x="741313"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B00-00000F000000}"/>
                </a:ext>
              </a:extLst>
            </xdr:cNvPr>
            <xdr:cNvCxnSpPr/>
          </xdr:nvCxnSpPr>
          <xdr:spPr bwMode="auto">
            <a:xfrm>
              <a:off x="3680519"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B00-000010000000}"/>
                </a:ext>
              </a:extLst>
            </xdr:cNvPr>
            <xdr:cNvCxnSpPr/>
          </xdr:nvCxnSpPr>
          <xdr:spPr bwMode="auto">
            <a:xfrm>
              <a:off x="178582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B00-000011000000}"/>
                </a:ext>
              </a:extLst>
            </xdr:cNvPr>
            <xdr:cNvCxnSpPr/>
          </xdr:nvCxnSpPr>
          <xdr:spPr bwMode="auto">
            <a:xfrm>
              <a:off x="280604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B00-000012000000}"/>
                </a:ext>
              </a:extLst>
            </xdr:cNvPr>
            <xdr:cNvCxnSpPr/>
          </xdr:nvCxnSpPr>
          <xdr:spPr bwMode="auto">
            <a:xfrm>
              <a:off x="437676" y="8382167"/>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00000000-0008-0000-0B00-000013000000}"/>
                </a:ext>
              </a:extLst>
            </xdr:cNvPr>
            <xdr:cNvCxnSpPr/>
          </xdr:nvCxnSpPr>
          <xdr:spPr bwMode="auto">
            <a:xfrm>
              <a:off x="1397169" y="9927335"/>
              <a:ext cx="1712512"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B00-000014000000}"/>
                </a:ext>
              </a:extLst>
            </xdr:cNvPr>
            <xdr:cNvCxnSpPr/>
          </xdr:nvCxnSpPr>
          <xdr:spPr bwMode="auto">
            <a:xfrm flipH="1">
              <a:off x="2186625"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B00-000015000000}"/>
                </a:ext>
              </a:extLst>
            </xdr:cNvPr>
            <xdr:cNvCxnSpPr/>
          </xdr:nvCxnSpPr>
          <xdr:spPr bwMode="auto">
            <a:xfrm flipH="1">
              <a:off x="2247352"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B00-000016000000}"/>
                </a:ext>
              </a:extLst>
            </xdr:cNvPr>
            <xdr:cNvCxnSpPr/>
          </xdr:nvCxnSpPr>
          <xdr:spPr bwMode="auto">
            <a:xfrm>
              <a:off x="1494333" y="9927335"/>
              <a:ext cx="0" cy="395563"/>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B00-000017000000}"/>
                </a:ext>
              </a:extLst>
            </xdr:cNvPr>
            <xdr:cNvCxnSpPr/>
          </xdr:nvCxnSpPr>
          <xdr:spPr bwMode="auto">
            <a:xfrm>
              <a:off x="474112" y="8382167"/>
              <a:ext cx="0" cy="1940731"/>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B00-000018000000}"/>
                </a:ext>
              </a:extLst>
            </xdr:cNvPr>
            <xdr:cNvCxnSpPr/>
          </xdr:nvCxnSpPr>
          <xdr:spPr bwMode="auto">
            <a:xfrm flipH="1">
              <a:off x="741313" y="8172024"/>
              <a:ext cx="2951351"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47">
              <a:extLst>
                <a:ext uri="{FF2B5EF4-FFF2-40B4-BE49-F238E27FC236}">
                  <a16:creationId xmlns:a16="http://schemas.microsoft.com/office/drawing/2014/main" id="{00000000-0008-0000-0B00-000019000000}"/>
                </a:ext>
              </a:extLst>
            </xdr:cNvPr>
            <xdr:cNvSpPr txBox="1"/>
          </xdr:nvSpPr>
          <xdr:spPr bwMode="auto">
            <a:xfrm>
              <a:off x="2125898" y="10495957"/>
              <a:ext cx="619419"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Ｌ３</a:t>
              </a:r>
            </a:p>
          </xdr:txBody>
        </xdr:sp>
        <xdr:sp macro="" textlink="">
          <xdr:nvSpPr>
            <xdr:cNvPr id="26" name="テキスト ボックス 48">
              <a:extLst>
                <a:ext uri="{FF2B5EF4-FFF2-40B4-BE49-F238E27FC236}">
                  <a16:creationId xmlns:a16="http://schemas.microsoft.com/office/drawing/2014/main" id="{00000000-0008-0000-0B00-00001A000000}"/>
                </a:ext>
              </a:extLst>
            </xdr:cNvPr>
            <xdr:cNvSpPr txBox="1"/>
          </xdr:nvSpPr>
          <xdr:spPr bwMode="auto">
            <a:xfrm>
              <a:off x="2101607" y="7875352"/>
              <a:ext cx="582983"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Ｌ１</a:t>
              </a:r>
            </a:p>
          </xdr:txBody>
        </xdr:sp>
        <xdr:sp macro="" textlink="">
          <xdr:nvSpPr>
            <xdr:cNvPr id="27" name="テキスト ボックス 49">
              <a:extLst>
                <a:ext uri="{FF2B5EF4-FFF2-40B4-BE49-F238E27FC236}">
                  <a16:creationId xmlns:a16="http://schemas.microsoft.com/office/drawing/2014/main" id="{00000000-0008-0000-0B00-00001B000000}"/>
                </a:ext>
              </a:extLst>
            </xdr:cNvPr>
            <xdr:cNvSpPr txBox="1"/>
          </xdr:nvSpPr>
          <xdr:spPr bwMode="auto">
            <a:xfrm rot="16200000">
              <a:off x="966357" y="9795138"/>
              <a:ext cx="655151" cy="4250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Ｌ４</a:t>
              </a:r>
            </a:p>
          </xdr:txBody>
        </xdr:sp>
        <xdr:sp macro="" textlink="">
          <xdr:nvSpPr>
            <xdr:cNvPr id="28" name="テキスト ボックス 50">
              <a:extLst>
                <a:ext uri="{FF2B5EF4-FFF2-40B4-BE49-F238E27FC236}">
                  <a16:creationId xmlns:a16="http://schemas.microsoft.com/office/drawing/2014/main" id="{00000000-0008-0000-0B00-00001C000000}"/>
                </a:ext>
              </a:extLst>
            </xdr:cNvPr>
            <xdr:cNvSpPr txBox="1"/>
          </xdr:nvSpPr>
          <xdr:spPr bwMode="auto">
            <a:xfrm rot="16200000">
              <a:off x="-5713" y="8991219"/>
              <a:ext cx="704597" cy="37651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Ｌ２</a:t>
              </a:r>
            </a:p>
          </xdr:txBody>
        </xdr:sp>
        <xdr:cxnSp macro="">
          <xdr:nvCxnSpPr>
            <xdr:cNvPr id="29" name="直線矢印コネクタ 28">
              <a:extLst>
                <a:ext uri="{FF2B5EF4-FFF2-40B4-BE49-F238E27FC236}">
                  <a16:creationId xmlns:a16="http://schemas.microsoft.com/office/drawing/2014/main" id="{00000000-0008-0000-0B00-00001D000000}"/>
                </a:ext>
              </a:extLst>
            </xdr:cNvPr>
            <xdr:cNvCxnSpPr/>
          </xdr:nvCxnSpPr>
          <xdr:spPr bwMode="auto">
            <a:xfrm flipH="1">
              <a:off x="1785824" y="10495957"/>
              <a:ext cx="1020220"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B00-00001E000000}"/>
                </a:ext>
              </a:extLst>
            </xdr:cNvPr>
            <xdr:cNvCxnSpPr/>
          </xdr:nvCxnSpPr>
          <xdr:spPr bwMode="auto">
            <a:xfrm>
              <a:off x="437676" y="10322898"/>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22</xdr:row>
      <xdr:rowOff>257175</xdr:rowOff>
    </xdr:from>
    <xdr:to>
      <xdr:col>7</xdr:col>
      <xdr:colOff>219075</xdr:colOff>
      <xdr:row>36</xdr:row>
      <xdr:rowOff>0</xdr:rowOff>
    </xdr:to>
    <xdr:grpSp>
      <xdr:nvGrpSpPr>
        <xdr:cNvPr id="85131" name="グループ化 4">
          <a:extLst>
            <a:ext uri="{FF2B5EF4-FFF2-40B4-BE49-F238E27FC236}">
              <a16:creationId xmlns:a16="http://schemas.microsoft.com/office/drawing/2014/main" id="{00000000-0008-0000-0200-00008B4C0100}"/>
            </a:ext>
          </a:extLst>
        </xdr:cNvPr>
        <xdr:cNvGrpSpPr>
          <a:grpSpLocks/>
        </xdr:cNvGrpSpPr>
      </xdr:nvGrpSpPr>
      <xdr:grpSpPr bwMode="auto">
        <a:xfrm>
          <a:off x="413385" y="6055995"/>
          <a:ext cx="1466850" cy="3430905"/>
          <a:chOff x="381000" y="5495925"/>
          <a:chExt cx="1609725" cy="2628900"/>
        </a:xfrm>
      </xdr:grpSpPr>
      <xdr:pic>
        <xdr:nvPicPr>
          <xdr:cNvPr id="85133" name="Picture 1">
            <a:extLst>
              <a:ext uri="{FF2B5EF4-FFF2-40B4-BE49-F238E27FC236}">
                <a16:creationId xmlns:a16="http://schemas.microsoft.com/office/drawing/2014/main" id="{00000000-0008-0000-0200-00008D4C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33</xdr:col>
      <xdr:colOff>11206</xdr:colOff>
      <xdr:row>28</xdr:row>
      <xdr:rowOff>44824</xdr:rowOff>
    </xdr:from>
    <xdr:to>
      <xdr:col>53</xdr:col>
      <xdr:colOff>31939</xdr:colOff>
      <xdr:row>37</xdr:row>
      <xdr:rowOff>159124</xdr:rowOff>
    </xdr:to>
    <xdr:pic>
      <xdr:nvPicPr>
        <xdr:cNvPr id="85132" name="図 5">
          <a:extLst>
            <a:ext uri="{FF2B5EF4-FFF2-40B4-BE49-F238E27FC236}">
              <a16:creationId xmlns:a16="http://schemas.microsoft.com/office/drawing/2014/main" id="{00000000-0008-0000-0200-00008C4C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858500" y="7631206"/>
          <a:ext cx="5390030" cy="247874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2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2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2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2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2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2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2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85018" name="Check Box 26" hidden="1">
              <a:extLst>
                <a:ext uri="{63B3BB69-23CF-44E3-9099-C40C66FF867C}">
                  <a14:compatExt spid="_x0000_s85018"/>
                </a:ext>
                <a:ext uri="{FF2B5EF4-FFF2-40B4-BE49-F238E27FC236}">
                  <a16:creationId xmlns:a16="http://schemas.microsoft.com/office/drawing/2014/main" id="{00000000-0008-0000-0200-00001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85019" name="Check Box 27" hidden="1">
              <a:extLst>
                <a:ext uri="{63B3BB69-23CF-44E3-9099-C40C66FF867C}">
                  <a14:compatExt spid="_x0000_s85019"/>
                </a:ext>
                <a:ext uri="{FF2B5EF4-FFF2-40B4-BE49-F238E27FC236}">
                  <a16:creationId xmlns:a16="http://schemas.microsoft.com/office/drawing/2014/main" id="{00000000-0008-0000-0200-00001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85020" name="Check Box 28" hidden="1">
              <a:extLst>
                <a:ext uri="{63B3BB69-23CF-44E3-9099-C40C66FF867C}">
                  <a14:compatExt spid="_x0000_s85020"/>
                </a:ext>
                <a:ext uri="{FF2B5EF4-FFF2-40B4-BE49-F238E27FC236}">
                  <a16:creationId xmlns:a16="http://schemas.microsoft.com/office/drawing/2014/main" id="{00000000-0008-0000-0200-00001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85039" name="Check Box 47" hidden="1">
              <a:extLst>
                <a:ext uri="{63B3BB69-23CF-44E3-9099-C40C66FF867C}">
                  <a14:compatExt spid="_x0000_s85039"/>
                </a:ext>
                <a:ext uri="{FF2B5EF4-FFF2-40B4-BE49-F238E27FC236}">
                  <a16:creationId xmlns:a16="http://schemas.microsoft.com/office/drawing/2014/main" id="{00000000-0008-0000-0200-00002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85040" name="Check Box 48" hidden="1">
              <a:extLst>
                <a:ext uri="{63B3BB69-23CF-44E3-9099-C40C66FF867C}">
                  <a14:compatExt spid="_x0000_s85040"/>
                </a:ext>
                <a:ext uri="{FF2B5EF4-FFF2-40B4-BE49-F238E27FC236}">
                  <a16:creationId xmlns:a16="http://schemas.microsoft.com/office/drawing/2014/main" id="{00000000-0008-0000-0200-00003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85041" name="Check Box 49" hidden="1">
              <a:extLst>
                <a:ext uri="{63B3BB69-23CF-44E3-9099-C40C66FF867C}">
                  <a14:compatExt spid="_x0000_s85041"/>
                </a:ext>
                <a:ext uri="{FF2B5EF4-FFF2-40B4-BE49-F238E27FC236}">
                  <a16:creationId xmlns:a16="http://schemas.microsoft.com/office/drawing/2014/main" id="{00000000-0008-0000-0200-00003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85054" name="Check Box 62" hidden="1">
              <a:extLst>
                <a:ext uri="{63B3BB69-23CF-44E3-9099-C40C66FF867C}">
                  <a14:compatExt spid="_x0000_s85054"/>
                </a:ext>
                <a:ext uri="{FF2B5EF4-FFF2-40B4-BE49-F238E27FC236}">
                  <a16:creationId xmlns:a16="http://schemas.microsoft.com/office/drawing/2014/main" id="{00000000-0008-0000-0200-00003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85058" name="Check Box 66" hidden="1">
              <a:extLst>
                <a:ext uri="{63B3BB69-23CF-44E3-9099-C40C66FF867C}">
                  <a14:compatExt spid="_x0000_s85058"/>
                </a:ext>
                <a:ext uri="{FF2B5EF4-FFF2-40B4-BE49-F238E27FC236}">
                  <a16:creationId xmlns:a16="http://schemas.microsoft.com/office/drawing/2014/main" id="{00000000-0008-0000-0200-00004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85059" name="Check Box 67" hidden="1">
              <a:extLst>
                <a:ext uri="{63B3BB69-23CF-44E3-9099-C40C66FF867C}">
                  <a14:compatExt spid="_x0000_s85059"/>
                </a:ext>
                <a:ext uri="{FF2B5EF4-FFF2-40B4-BE49-F238E27FC236}">
                  <a16:creationId xmlns:a16="http://schemas.microsoft.com/office/drawing/2014/main" id="{00000000-0008-0000-0200-00004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85060" name="Check Box 68" hidden="1">
              <a:extLst>
                <a:ext uri="{63B3BB69-23CF-44E3-9099-C40C66FF867C}">
                  <a14:compatExt spid="_x0000_s85060"/>
                </a:ext>
                <a:ext uri="{FF2B5EF4-FFF2-40B4-BE49-F238E27FC236}">
                  <a16:creationId xmlns:a16="http://schemas.microsoft.com/office/drawing/2014/main" id="{00000000-0008-0000-0200-00004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85061" name="Check Box 69" hidden="1">
              <a:extLst>
                <a:ext uri="{63B3BB69-23CF-44E3-9099-C40C66FF867C}">
                  <a14:compatExt spid="_x0000_s85061"/>
                </a:ext>
                <a:ext uri="{FF2B5EF4-FFF2-40B4-BE49-F238E27FC236}">
                  <a16:creationId xmlns:a16="http://schemas.microsoft.com/office/drawing/2014/main" id="{00000000-0008-0000-0200-00004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85062" name="Check Box 70" hidden="1">
              <a:extLst>
                <a:ext uri="{63B3BB69-23CF-44E3-9099-C40C66FF867C}">
                  <a14:compatExt spid="_x0000_s85062"/>
                </a:ext>
                <a:ext uri="{FF2B5EF4-FFF2-40B4-BE49-F238E27FC236}">
                  <a16:creationId xmlns:a16="http://schemas.microsoft.com/office/drawing/2014/main" id="{00000000-0008-0000-0200-00004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85063" name="Check Box 71" hidden="1">
              <a:extLst>
                <a:ext uri="{63B3BB69-23CF-44E3-9099-C40C66FF867C}">
                  <a14:compatExt spid="_x0000_s85063"/>
                </a:ext>
                <a:ext uri="{FF2B5EF4-FFF2-40B4-BE49-F238E27FC236}">
                  <a16:creationId xmlns:a16="http://schemas.microsoft.com/office/drawing/2014/main" id="{00000000-0008-0000-0200-00004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85064" name="Check Box 72" hidden="1">
              <a:extLst>
                <a:ext uri="{63B3BB69-23CF-44E3-9099-C40C66FF867C}">
                  <a14:compatExt spid="_x0000_s85064"/>
                </a:ext>
                <a:ext uri="{FF2B5EF4-FFF2-40B4-BE49-F238E27FC236}">
                  <a16:creationId xmlns:a16="http://schemas.microsoft.com/office/drawing/2014/main" id="{00000000-0008-0000-0200-00004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85065" name="Check Box 73" hidden="1">
              <a:extLst>
                <a:ext uri="{63B3BB69-23CF-44E3-9099-C40C66FF867C}">
                  <a14:compatExt spid="_x0000_s85065"/>
                </a:ext>
                <a:ext uri="{FF2B5EF4-FFF2-40B4-BE49-F238E27FC236}">
                  <a16:creationId xmlns:a16="http://schemas.microsoft.com/office/drawing/2014/main" id="{00000000-0008-0000-0200-00004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85066" name="Check Box 74" hidden="1">
              <a:extLst>
                <a:ext uri="{63B3BB69-23CF-44E3-9099-C40C66FF867C}">
                  <a14:compatExt spid="_x0000_s85066"/>
                </a:ext>
                <a:ext uri="{FF2B5EF4-FFF2-40B4-BE49-F238E27FC236}">
                  <a16:creationId xmlns:a16="http://schemas.microsoft.com/office/drawing/2014/main" id="{00000000-0008-0000-0200-00004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85067" name="Check Box 75" hidden="1">
              <a:extLst>
                <a:ext uri="{63B3BB69-23CF-44E3-9099-C40C66FF867C}">
                  <a14:compatExt spid="_x0000_s85067"/>
                </a:ext>
                <a:ext uri="{FF2B5EF4-FFF2-40B4-BE49-F238E27FC236}">
                  <a16:creationId xmlns:a16="http://schemas.microsoft.com/office/drawing/2014/main" id="{00000000-0008-0000-0200-00004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85068" name="Check Box 76" hidden="1">
              <a:extLst>
                <a:ext uri="{63B3BB69-23CF-44E3-9099-C40C66FF867C}">
                  <a14:compatExt spid="_x0000_s85068"/>
                </a:ext>
                <a:ext uri="{FF2B5EF4-FFF2-40B4-BE49-F238E27FC236}">
                  <a16:creationId xmlns:a16="http://schemas.microsoft.com/office/drawing/2014/main" id="{00000000-0008-0000-0200-00004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85069" name="Check Box 77" hidden="1">
              <a:extLst>
                <a:ext uri="{63B3BB69-23CF-44E3-9099-C40C66FF867C}">
                  <a14:compatExt spid="_x0000_s85069"/>
                </a:ext>
                <a:ext uri="{FF2B5EF4-FFF2-40B4-BE49-F238E27FC236}">
                  <a16:creationId xmlns:a16="http://schemas.microsoft.com/office/drawing/2014/main" id="{00000000-0008-0000-0200-00004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85070" name="Check Box 78" hidden="1">
              <a:extLst>
                <a:ext uri="{63B3BB69-23CF-44E3-9099-C40C66FF867C}">
                  <a14:compatExt spid="_x0000_s85070"/>
                </a:ext>
                <a:ext uri="{FF2B5EF4-FFF2-40B4-BE49-F238E27FC236}">
                  <a16:creationId xmlns:a16="http://schemas.microsoft.com/office/drawing/2014/main" id="{00000000-0008-0000-0200-00004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85071" name="Check Box 79" hidden="1">
              <a:extLst>
                <a:ext uri="{63B3BB69-23CF-44E3-9099-C40C66FF867C}">
                  <a14:compatExt spid="_x0000_s85071"/>
                </a:ext>
                <a:ext uri="{FF2B5EF4-FFF2-40B4-BE49-F238E27FC236}">
                  <a16:creationId xmlns:a16="http://schemas.microsoft.com/office/drawing/2014/main" id="{00000000-0008-0000-0200-00004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85072" name="Check Box 80" hidden="1">
              <a:extLst>
                <a:ext uri="{63B3BB69-23CF-44E3-9099-C40C66FF867C}">
                  <a14:compatExt spid="_x0000_s85072"/>
                </a:ext>
                <a:ext uri="{FF2B5EF4-FFF2-40B4-BE49-F238E27FC236}">
                  <a16:creationId xmlns:a16="http://schemas.microsoft.com/office/drawing/2014/main" id="{00000000-0008-0000-0200-000050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85725</xdr:colOff>
      <xdr:row>22</xdr:row>
      <xdr:rowOff>257175</xdr:rowOff>
    </xdr:from>
    <xdr:to>
      <xdr:col>7</xdr:col>
      <xdr:colOff>219075</xdr:colOff>
      <xdr:row>36</xdr:row>
      <xdr:rowOff>0</xdr:rowOff>
    </xdr:to>
    <xdr:grpSp>
      <xdr:nvGrpSpPr>
        <xdr:cNvPr id="98412" name="グループ化 2">
          <a:extLst>
            <a:ext uri="{FF2B5EF4-FFF2-40B4-BE49-F238E27FC236}">
              <a16:creationId xmlns:a16="http://schemas.microsoft.com/office/drawing/2014/main" id="{00000000-0008-0000-0300-00006C800100}"/>
            </a:ext>
          </a:extLst>
        </xdr:cNvPr>
        <xdr:cNvGrpSpPr>
          <a:grpSpLocks/>
        </xdr:cNvGrpSpPr>
      </xdr:nvGrpSpPr>
      <xdr:grpSpPr bwMode="auto">
        <a:xfrm>
          <a:off x="413385" y="6055995"/>
          <a:ext cx="1466850" cy="3430905"/>
          <a:chOff x="381000" y="5495925"/>
          <a:chExt cx="1609725" cy="2628900"/>
        </a:xfrm>
      </xdr:grpSpPr>
      <xdr:pic>
        <xdr:nvPicPr>
          <xdr:cNvPr id="98414" name="Picture 1">
            <a:extLst>
              <a:ext uri="{FF2B5EF4-FFF2-40B4-BE49-F238E27FC236}">
                <a16:creationId xmlns:a16="http://schemas.microsoft.com/office/drawing/2014/main" id="{00000000-0008-0000-0300-00006E80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33</xdr:col>
      <xdr:colOff>44824</xdr:colOff>
      <xdr:row>28</xdr:row>
      <xdr:rowOff>67236</xdr:rowOff>
    </xdr:from>
    <xdr:to>
      <xdr:col>52</xdr:col>
      <xdr:colOff>676276</xdr:colOff>
      <xdr:row>37</xdr:row>
      <xdr:rowOff>181537</xdr:rowOff>
    </xdr:to>
    <xdr:pic>
      <xdr:nvPicPr>
        <xdr:cNvPr id="98413" name="図 5">
          <a:extLst>
            <a:ext uri="{FF2B5EF4-FFF2-40B4-BE49-F238E27FC236}">
              <a16:creationId xmlns:a16="http://schemas.microsoft.com/office/drawing/2014/main" id="{00000000-0008-0000-0300-00006D80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892118" y="7664824"/>
          <a:ext cx="5371540" cy="247874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3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3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3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3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3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3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3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3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3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3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3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98327" name="Check Box 23" hidden="1">
              <a:extLst>
                <a:ext uri="{63B3BB69-23CF-44E3-9099-C40C66FF867C}">
                  <a14:compatExt spid="_x0000_s98327"/>
                </a:ext>
                <a:ext uri="{FF2B5EF4-FFF2-40B4-BE49-F238E27FC236}">
                  <a16:creationId xmlns:a16="http://schemas.microsoft.com/office/drawing/2014/main" id="{00000000-0008-0000-0300-00001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3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98337" name="Check Box 33" hidden="1">
              <a:extLst>
                <a:ext uri="{63B3BB69-23CF-44E3-9099-C40C66FF867C}">
                  <a14:compatExt spid="_x0000_s98337"/>
                </a:ext>
                <a:ext uri="{FF2B5EF4-FFF2-40B4-BE49-F238E27FC236}">
                  <a16:creationId xmlns:a16="http://schemas.microsoft.com/office/drawing/2014/main" id="{00000000-0008-0000-0300-00002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98339" name="Check Box 35" hidden="1">
              <a:extLst>
                <a:ext uri="{63B3BB69-23CF-44E3-9099-C40C66FF867C}">
                  <a14:compatExt spid="_x0000_s98339"/>
                </a:ext>
                <a:ext uri="{FF2B5EF4-FFF2-40B4-BE49-F238E27FC236}">
                  <a16:creationId xmlns:a16="http://schemas.microsoft.com/office/drawing/2014/main" id="{00000000-0008-0000-0300-00002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98340" name="Check Box 36" hidden="1">
              <a:extLst>
                <a:ext uri="{63B3BB69-23CF-44E3-9099-C40C66FF867C}">
                  <a14:compatExt spid="_x0000_s98340"/>
                </a:ext>
                <a:ext uri="{FF2B5EF4-FFF2-40B4-BE49-F238E27FC236}">
                  <a16:creationId xmlns:a16="http://schemas.microsoft.com/office/drawing/2014/main" id="{00000000-0008-0000-0300-00002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98341" name="Check Box 37" hidden="1">
              <a:extLst>
                <a:ext uri="{63B3BB69-23CF-44E3-9099-C40C66FF867C}">
                  <a14:compatExt spid="_x0000_s98341"/>
                </a:ext>
                <a:ext uri="{FF2B5EF4-FFF2-40B4-BE49-F238E27FC236}">
                  <a16:creationId xmlns:a16="http://schemas.microsoft.com/office/drawing/2014/main" id="{00000000-0008-0000-0300-00002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85725</xdr:colOff>
      <xdr:row>22</xdr:row>
      <xdr:rowOff>266700</xdr:rowOff>
    </xdr:from>
    <xdr:to>
      <xdr:col>7</xdr:col>
      <xdr:colOff>219075</xdr:colOff>
      <xdr:row>36</xdr:row>
      <xdr:rowOff>9525</xdr:rowOff>
    </xdr:to>
    <xdr:grpSp>
      <xdr:nvGrpSpPr>
        <xdr:cNvPr id="99437" name="グループ化 2">
          <a:extLst>
            <a:ext uri="{FF2B5EF4-FFF2-40B4-BE49-F238E27FC236}">
              <a16:creationId xmlns:a16="http://schemas.microsoft.com/office/drawing/2014/main" id="{00000000-0008-0000-0400-00006D840100}"/>
            </a:ext>
          </a:extLst>
        </xdr:cNvPr>
        <xdr:cNvGrpSpPr>
          <a:grpSpLocks/>
        </xdr:cNvGrpSpPr>
      </xdr:nvGrpSpPr>
      <xdr:grpSpPr bwMode="auto">
        <a:xfrm>
          <a:off x="413385" y="6065520"/>
          <a:ext cx="1466850" cy="3430905"/>
          <a:chOff x="381000" y="5495925"/>
          <a:chExt cx="1609725" cy="2628900"/>
        </a:xfrm>
      </xdr:grpSpPr>
      <xdr:pic>
        <xdr:nvPicPr>
          <xdr:cNvPr id="99439" name="Picture 1">
            <a:extLst>
              <a:ext uri="{FF2B5EF4-FFF2-40B4-BE49-F238E27FC236}">
                <a16:creationId xmlns:a16="http://schemas.microsoft.com/office/drawing/2014/main" id="{00000000-0008-0000-0400-00006F84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161925</xdr:colOff>
      <xdr:row>38</xdr:row>
      <xdr:rowOff>76200</xdr:rowOff>
    </xdr:from>
    <xdr:to>
      <xdr:col>52</xdr:col>
      <xdr:colOff>542925</xdr:colOff>
      <xdr:row>47</xdr:row>
      <xdr:rowOff>190500</xdr:rowOff>
    </xdr:to>
    <xdr:pic>
      <xdr:nvPicPr>
        <xdr:cNvPr id="99438" name="図 5">
          <a:extLst>
            <a:ext uri="{FF2B5EF4-FFF2-40B4-BE49-F238E27FC236}">
              <a16:creationId xmlns:a16="http://schemas.microsoft.com/office/drawing/2014/main" id="{00000000-0008-0000-0400-00006E84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91500" y="10201275"/>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4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4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04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04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0400-00000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0400-00000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0400-00000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0400-00000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0400-00000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0400-00000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0400-00001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99351" name="Check Box 23" hidden="1">
              <a:extLst>
                <a:ext uri="{63B3BB69-23CF-44E3-9099-C40C66FF867C}">
                  <a14:compatExt spid="_x0000_s99351"/>
                </a:ext>
                <a:ext uri="{FF2B5EF4-FFF2-40B4-BE49-F238E27FC236}">
                  <a16:creationId xmlns:a16="http://schemas.microsoft.com/office/drawing/2014/main" id="{00000000-0008-0000-0400-00001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99352" name="Check Box 24" hidden="1">
              <a:extLst>
                <a:ext uri="{63B3BB69-23CF-44E3-9099-C40C66FF867C}">
                  <a14:compatExt spid="_x0000_s99352"/>
                </a:ext>
                <a:ext uri="{FF2B5EF4-FFF2-40B4-BE49-F238E27FC236}">
                  <a16:creationId xmlns:a16="http://schemas.microsoft.com/office/drawing/2014/main" id="{00000000-0008-0000-0400-00001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99362" name="Check Box 34" hidden="1">
              <a:extLst>
                <a:ext uri="{63B3BB69-23CF-44E3-9099-C40C66FF867C}">
                  <a14:compatExt spid="_x0000_s99362"/>
                </a:ext>
                <a:ext uri="{FF2B5EF4-FFF2-40B4-BE49-F238E27FC236}">
                  <a16:creationId xmlns:a16="http://schemas.microsoft.com/office/drawing/2014/main" id="{00000000-0008-0000-0400-00002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99363" name="Check Box 35" hidden="1">
              <a:extLst>
                <a:ext uri="{63B3BB69-23CF-44E3-9099-C40C66FF867C}">
                  <a14:compatExt spid="_x0000_s99363"/>
                </a:ext>
                <a:ext uri="{FF2B5EF4-FFF2-40B4-BE49-F238E27FC236}">
                  <a16:creationId xmlns:a16="http://schemas.microsoft.com/office/drawing/2014/main" id="{00000000-0008-0000-0400-00002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99365" name="Check Box 37" hidden="1">
              <a:extLst>
                <a:ext uri="{63B3BB69-23CF-44E3-9099-C40C66FF867C}">
                  <a14:compatExt spid="_x0000_s99365"/>
                </a:ext>
                <a:ext uri="{FF2B5EF4-FFF2-40B4-BE49-F238E27FC236}">
                  <a16:creationId xmlns:a16="http://schemas.microsoft.com/office/drawing/2014/main" id="{00000000-0008-0000-0400-00002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99366" name="Check Box 38" hidden="1">
              <a:extLst>
                <a:ext uri="{63B3BB69-23CF-44E3-9099-C40C66FF867C}">
                  <a14:compatExt spid="_x0000_s99366"/>
                </a:ext>
                <a:ext uri="{FF2B5EF4-FFF2-40B4-BE49-F238E27FC236}">
                  <a16:creationId xmlns:a16="http://schemas.microsoft.com/office/drawing/2014/main" id="{00000000-0008-0000-0400-00002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95250</xdr:colOff>
      <xdr:row>22</xdr:row>
      <xdr:rowOff>266700</xdr:rowOff>
    </xdr:from>
    <xdr:to>
      <xdr:col>7</xdr:col>
      <xdr:colOff>228600</xdr:colOff>
      <xdr:row>36</xdr:row>
      <xdr:rowOff>9525</xdr:rowOff>
    </xdr:to>
    <xdr:grpSp>
      <xdr:nvGrpSpPr>
        <xdr:cNvPr id="100461" name="グループ化 2">
          <a:extLst>
            <a:ext uri="{FF2B5EF4-FFF2-40B4-BE49-F238E27FC236}">
              <a16:creationId xmlns:a16="http://schemas.microsoft.com/office/drawing/2014/main" id="{00000000-0008-0000-0500-00006D880100}"/>
            </a:ext>
          </a:extLst>
        </xdr:cNvPr>
        <xdr:cNvGrpSpPr>
          <a:grpSpLocks/>
        </xdr:cNvGrpSpPr>
      </xdr:nvGrpSpPr>
      <xdr:grpSpPr bwMode="auto">
        <a:xfrm>
          <a:off x="422910" y="6065520"/>
          <a:ext cx="1466850" cy="3430905"/>
          <a:chOff x="381000" y="5495925"/>
          <a:chExt cx="1609725" cy="2628900"/>
        </a:xfrm>
      </xdr:grpSpPr>
      <xdr:pic>
        <xdr:nvPicPr>
          <xdr:cNvPr id="100463" name="Picture 1">
            <a:extLst>
              <a:ext uri="{FF2B5EF4-FFF2-40B4-BE49-F238E27FC236}">
                <a16:creationId xmlns:a16="http://schemas.microsoft.com/office/drawing/2014/main" id="{00000000-0008-0000-0500-00006F88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27</xdr:col>
      <xdr:colOff>219075</xdr:colOff>
      <xdr:row>37</xdr:row>
      <xdr:rowOff>228600</xdr:rowOff>
    </xdr:from>
    <xdr:to>
      <xdr:col>52</xdr:col>
      <xdr:colOff>323290</xdr:colOff>
      <xdr:row>47</xdr:row>
      <xdr:rowOff>66675</xdr:rowOff>
    </xdr:to>
    <xdr:pic>
      <xdr:nvPicPr>
        <xdr:cNvPr id="100462" name="図 5">
          <a:extLst>
            <a:ext uri="{FF2B5EF4-FFF2-40B4-BE49-F238E27FC236}">
              <a16:creationId xmlns:a16="http://schemas.microsoft.com/office/drawing/2014/main" id="{00000000-0008-0000-0500-00006E88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82025" y="10182225"/>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5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5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5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5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5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5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5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5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5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500-00000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5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5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5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5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5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5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5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95250</xdr:colOff>
      <xdr:row>22</xdr:row>
      <xdr:rowOff>257175</xdr:rowOff>
    </xdr:from>
    <xdr:to>
      <xdr:col>7</xdr:col>
      <xdr:colOff>228600</xdr:colOff>
      <xdr:row>36</xdr:row>
      <xdr:rowOff>0</xdr:rowOff>
    </xdr:to>
    <xdr:grpSp>
      <xdr:nvGrpSpPr>
        <xdr:cNvPr id="101484" name="グループ化 2">
          <a:extLst>
            <a:ext uri="{FF2B5EF4-FFF2-40B4-BE49-F238E27FC236}">
              <a16:creationId xmlns:a16="http://schemas.microsoft.com/office/drawing/2014/main" id="{00000000-0008-0000-0600-00006C8C0100}"/>
            </a:ext>
          </a:extLst>
        </xdr:cNvPr>
        <xdr:cNvGrpSpPr>
          <a:grpSpLocks/>
        </xdr:cNvGrpSpPr>
      </xdr:nvGrpSpPr>
      <xdr:grpSpPr bwMode="auto">
        <a:xfrm>
          <a:off x="422910" y="6055995"/>
          <a:ext cx="1466850" cy="3430905"/>
          <a:chOff x="381000" y="5495925"/>
          <a:chExt cx="1609725" cy="2628900"/>
        </a:xfrm>
      </xdr:grpSpPr>
      <xdr:pic>
        <xdr:nvPicPr>
          <xdr:cNvPr id="101486" name="Picture 1">
            <a:extLst>
              <a:ext uri="{FF2B5EF4-FFF2-40B4-BE49-F238E27FC236}">
                <a16:creationId xmlns:a16="http://schemas.microsoft.com/office/drawing/2014/main" id="{00000000-0008-0000-0600-00006E8C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27</xdr:col>
      <xdr:colOff>285750</xdr:colOff>
      <xdr:row>37</xdr:row>
      <xdr:rowOff>247650</xdr:rowOff>
    </xdr:from>
    <xdr:to>
      <xdr:col>52</xdr:col>
      <xdr:colOff>389965</xdr:colOff>
      <xdr:row>47</xdr:row>
      <xdr:rowOff>85725</xdr:rowOff>
    </xdr:to>
    <xdr:pic>
      <xdr:nvPicPr>
        <xdr:cNvPr id="101485" name="図 5">
          <a:extLst>
            <a:ext uri="{FF2B5EF4-FFF2-40B4-BE49-F238E27FC236}">
              <a16:creationId xmlns:a16="http://schemas.microsoft.com/office/drawing/2014/main" id="{00000000-0008-0000-0600-00006D8C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48700" y="10201275"/>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6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6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6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6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101381" name="Check Box 5" hidden="1">
              <a:extLst>
                <a:ext uri="{63B3BB69-23CF-44E3-9099-C40C66FF867C}">
                  <a14:compatExt spid="_x0000_s101381"/>
                </a:ext>
                <a:ext uri="{FF2B5EF4-FFF2-40B4-BE49-F238E27FC236}">
                  <a16:creationId xmlns:a16="http://schemas.microsoft.com/office/drawing/2014/main" id="{00000000-0008-0000-0600-00000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600-00000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101383" name="Check Box 7" hidden="1">
              <a:extLst>
                <a:ext uri="{63B3BB69-23CF-44E3-9099-C40C66FF867C}">
                  <a14:compatExt spid="_x0000_s101383"/>
                </a:ext>
                <a:ext uri="{FF2B5EF4-FFF2-40B4-BE49-F238E27FC236}">
                  <a16:creationId xmlns:a16="http://schemas.microsoft.com/office/drawing/2014/main" id="{00000000-0008-0000-0600-00000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101384" name="Check Box 8" hidden="1">
              <a:extLst>
                <a:ext uri="{63B3BB69-23CF-44E3-9099-C40C66FF867C}">
                  <a14:compatExt spid="_x0000_s101384"/>
                </a:ext>
                <a:ext uri="{FF2B5EF4-FFF2-40B4-BE49-F238E27FC236}">
                  <a16:creationId xmlns:a16="http://schemas.microsoft.com/office/drawing/2014/main" id="{00000000-0008-0000-0600-00000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0600-00000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101386" name="Check Box 10" hidden="1">
              <a:extLst>
                <a:ext uri="{63B3BB69-23CF-44E3-9099-C40C66FF867C}">
                  <a14:compatExt spid="_x0000_s101386"/>
                </a:ext>
                <a:ext uri="{FF2B5EF4-FFF2-40B4-BE49-F238E27FC236}">
                  <a16:creationId xmlns:a16="http://schemas.microsoft.com/office/drawing/2014/main" id="{00000000-0008-0000-0600-00000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101398" name="Check Box 22" hidden="1">
              <a:extLst>
                <a:ext uri="{63B3BB69-23CF-44E3-9099-C40C66FF867C}">
                  <a14:compatExt spid="_x0000_s101398"/>
                </a:ext>
                <a:ext uri="{FF2B5EF4-FFF2-40B4-BE49-F238E27FC236}">
                  <a16:creationId xmlns:a16="http://schemas.microsoft.com/office/drawing/2014/main" id="{00000000-0008-0000-0600-00001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0600-00001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0600-00001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101409" name="Check Box 33" hidden="1">
              <a:extLst>
                <a:ext uri="{63B3BB69-23CF-44E3-9099-C40C66FF867C}">
                  <a14:compatExt spid="_x0000_s101409"/>
                </a:ext>
                <a:ext uri="{FF2B5EF4-FFF2-40B4-BE49-F238E27FC236}">
                  <a16:creationId xmlns:a16="http://schemas.microsoft.com/office/drawing/2014/main" id="{00000000-0008-0000-0600-00002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101410" name="Check Box 34" hidden="1">
              <a:extLst>
                <a:ext uri="{63B3BB69-23CF-44E3-9099-C40C66FF867C}">
                  <a14:compatExt spid="_x0000_s101410"/>
                </a:ext>
                <a:ext uri="{FF2B5EF4-FFF2-40B4-BE49-F238E27FC236}">
                  <a16:creationId xmlns:a16="http://schemas.microsoft.com/office/drawing/2014/main" id="{00000000-0008-0000-0600-00002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101411" name="Check Box 35" hidden="1">
              <a:extLst>
                <a:ext uri="{63B3BB69-23CF-44E3-9099-C40C66FF867C}">
                  <a14:compatExt spid="_x0000_s101411"/>
                </a:ext>
                <a:ext uri="{FF2B5EF4-FFF2-40B4-BE49-F238E27FC236}">
                  <a16:creationId xmlns:a16="http://schemas.microsoft.com/office/drawing/2014/main" id="{00000000-0008-0000-0600-00002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101412" name="Check Box 36" hidden="1">
              <a:extLst>
                <a:ext uri="{63B3BB69-23CF-44E3-9099-C40C66FF867C}">
                  <a14:compatExt spid="_x0000_s101412"/>
                </a:ext>
                <a:ext uri="{FF2B5EF4-FFF2-40B4-BE49-F238E27FC236}">
                  <a16:creationId xmlns:a16="http://schemas.microsoft.com/office/drawing/2014/main" id="{00000000-0008-0000-0600-00002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85725</xdr:colOff>
      <xdr:row>22</xdr:row>
      <xdr:rowOff>257175</xdr:rowOff>
    </xdr:from>
    <xdr:to>
      <xdr:col>7</xdr:col>
      <xdr:colOff>219075</xdr:colOff>
      <xdr:row>36</xdr:row>
      <xdr:rowOff>0</xdr:rowOff>
    </xdr:to>
    <xdr:grpSp>
      <xdr:nvGrpSpPr>
        <xdr:cNvPr id="102508" name="グループ化 2">
          <a:extLst>
            <a:ext uri="{FF2B5EF4-FFF2-40B4-BE49-F238E27FC236}">
              <a16:creationId xmlns:a16="http://schemas.microsoft.com/office/drawing/2014/main" id="{00000000-0008-0000-0700-00006C900100}"/>
            </a:ext>
          </a:extLst>
        </xdr:cNvPr>
        <xdr:cNvGrpSpPr>
          <a:grpSpLocks/>
        </xdr:cNvGrpSpPr>
      </xdr:nvGrpSpPr>
      <xdr:grpSpPr bwMode="auto">
        <a:xfrm>
          <a:off x="413385" y="6055995"/>
          <a:ext cx="1466850" cy="3430905"/>
          <a:chOff x="381000" y="5495925"/>
          <a:chExt cx="1609725" cy="2628900"/>
        </a:xfrm>
      </xdr:grpSpPr>
      <xdr:pic>
        <xdr:nvPicPr>
          <xdr:cNvPr id="102510" name="Picture 1">
            <a:extLst>
              <a:ext uri="{FF2B5EF4-FFF2-40B4-BE49-F238E27FC236}">
                <a16:creationId xmlns:a16="http://schemas.microsoft.com/office/drawing/2014/main" id="{00000000-0008-0000-0700-00006E90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28</xdr:col>
      <xdr:colOff>66675</xdr:colOff>
      <xdr:row>36</xdr:row>
      <xdr:rowOff>114300</xdr:rowOff>
    </xdr:from>
    <xdr:to>
      <xdr:col>52</xdr:col>
      <xdr:colOff>466165</xdr:colOff>
      <xdr:row>45</xdr:row>
      <xdr:rowOff>228600</xdr:rowOff>
    </xdr:to>
    <xdr:pic>
      <xdr:nvPicPr>
        <xdr:cNvPr id="102509" name="図 5">
          <a:extLst>
            <a:ext uri="{FF2B5EF4-FFF2-40B4-BE49-F238E27FC236}">
              <a16:creationId xmlns:a16="http://schemas.microsoft.com/office/drawing/2014/main" id="{00000000-0008-0000-0700-00006D90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24900" y="9791700"/>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07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102402" name="Check Box 2" hidden="1">
              <a:extLst>
                <a:ext uri="{63B3BB69-23CF-44E3-9099-C40C66FF867C}">
                  <a14:compatExt spid="_x0000_s102402"/>
                </a:ext>
                <a:ext uri="{FF2B5EF4-FFF2-40B4-BE49-F238E27FC236}">
                  <a16:creationId xmlns:a16="http://schemas.microsoft.com/office/drawing/2014/main" id="{00000000-0008-0000-07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07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07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07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07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07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07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102409" name="Check Box 9" hidden="1">
              <a:extLst>
                <a:ext uri="{63B3BB69-23CF-44E3-9099-C40C66FF867C}">
                  <a14:compatExt spid="_x0000_s102409"/>
                </a:ext>
                <a:ext uri="{FF2B5EF4-FFF2-40B4-BE49-F238E27FC236}">
                  <a16:creationId xmlns:a16="http://schemas.microsoft.com/office/drawing/2014/main" id="{00000000-0008-0000-0700-00000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102410" name="Check Box 10" hidden="1">
              <a:extLst>
                <a:ext uri="{63B3BB69-23CF-44E3-9099-C40C66FF867C}">
                  <a14:compatExt spid="_x0000_s102410"/>
                </a:ext>
                <a:ext uri="{FF2B5EF4-FFF2-40B4-BE49-F238E27FC236}">
                  <a16:creationId xmlns:a16="http://schemas.microsoft.com/office/drawing/2014/main" id="{00000000-0008-0000-0700-00000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102422" name="Check Box 22" hidden="1">
              <a:extLst>
                <a:ext uri="{63B3BB69-23CF-44E3-9099-C40C66FF867C}">
                  <a14:compatExt spid="_x0000_s102422"/>
                </a:ext>
                <a:ext uri="{FF2B5EF4-FFF2-40B4-BE49-F238E27FC236}">
                  <a16:creationId xmlns:a16="http://schemas.microsoft.com/office/drawing/2014/main" id="{00000000-0008-0000-0700-00001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102423" name="Check Box 23" hidden="1">
              <a:extLst>
                <a:ext uri="{63B3BB69-23CF-44E3-9099-C40C66FF867C}">
                  <a14:compatExt spid="_x0000_s102423"/>
                </a:ext>
                <a:ext uri="{FF2B5EF4-FFF2-40B4-BE49-F238E27FC236}">
                  <a16:creationId xmlns:a16="http://schemas.microsoft.com/office/drawing/2014/main" id="{00000000-0008-0000-0700-00001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102424" name="Check Box 24" hidden="1">
              <a:extLst>
                <a:ext uri="{63B3BB69-23CF-44E3-9099-C40C66FF867C}">
                  <a14:compatExt spid="_x0000_s102424"/>
                </a:ext>
                <a:ext uri="{FF2B5EF4-FFF2-40B4-BE49-F238E27FC236}">
                  <a16:creationId xmlns:a16="http://schemas.microsoft.com/office/drawing/2014/main" id="{00000000-0008-0000-0700-00001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102433" name="Check Box 33" hidden="1">
              <a:extLst>
                <a:ext uri="{63B3BB69-23CF-44E3-9099-C40C66FF867C}">
                  <a14:compatExt spid="_x0000_s102433"/>
                </a:ext>
                <a:ext uri="{FF2B5EF4-FFF2-40B4-BE49-F238E27FC236}">
                  <a16:creationId xmlns:a16="http://schemas.microsoft.com/office/drawing/2014/main" id="{00000000-0008-0000-0700-00002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102435" name="Check Box 35" hidden="1">
              <a:extLst>
                <a:ext uri="{63B3BB69-23CF-44E3-9099-C40C66FF867C}">
                  <a14:compatExt spid="_x0000_s102435"/>
                </a:ext>
                <a:ext uri="{FF2B5EF4-FFF2-40B4-BE49-F238E27FC236}">
                  <a16:creationId xmlns:a16="http://schemas.microsoft.com/office/drawing/2014/main" id="{00000000-0008-0000-0700-00002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102436" name="Check Box 36" hidden="1">
              <a:extLst>
                <a:ext uri="{63B3BB69-23CF-44E3-9099-C40C66FF867C}">
                  <a14:compatExt spid="_x0000_s102436"/>
                </a:ext>
                <a:ext uri="{FF2B5EF4-FFF2-40B4-BE49-F238E27FC236}">
                  <a16:creationId xmlns:a16="http://schemas.microsoft.com/office/drawing/2014/main" id="{00000000-0008-0000-0700-00002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102437" name="Check Box 37" hidden="1">
              <a:extLst>
                <a:ext uri="{63B3BB69-23CF-44E3-9099-C40C66FF867C}">
                  <a14:compatExt spid="_x0000_s102437"/>
                </a:ext>
                <a:ext uri="{FF2B5EF4-FFF2-40B4-BE49-F238E27FC236}">
                  <a16:creationId xmlns:a16="http://schemas.microsoft.com/office/drawing/2014/main" id="{00000000-0008-0000-0700-00002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85725</xdr:colOff>
      <xdr:row>22</xdr:row>
      <xdr:rowOff>257175</xdr:rowOff>
    </xdr:from>
    <xdr:to>
      <xdr:col>7</xdr:col>
      <xdr:colOff>219075</xdr:colOff>
      <xdr:row>36</xdr:row>
      <xdr:rowOff>0</xdr:rowOff>
    </xdr:to>
    <xdr:grpSp>
      <xdr:nvGrpSpPr>
        <xdr:cNvPr id="103532" name="グループ化 2">
          <a:extLst>
            <a:ext uri="{FF2B5EF4-FFF2-40B4-BE49-F238E27FC236}">
              <a16:creationId xmlns:a16="http://schemas.microsoft.com/office/drawing/2014/main" id="{00000000-0008-0000-0800-00006C940100}"/>
            </a:ext>
          </a:extLst>
        </xdr:cNvPr>
        <xdr:cNvGrpSpPr>
          <a:grpSpLocks/>
        </xdr:cNvGrpSpPr>
      </xdr:nvGrpSpPr>
      <xdr:grpSpPr bwMode="auto">
        <a:xfrm>
          <a:off x="413385" y="6055995"/>
          <a:ext cx="1466850" cy="3430905"/>
          <a:chOff x="381000" y="5495925"/>
          <a:chExt cx="1609725" cy="2628900"/>
        </a:xfrm>
      </xdr:grpSpPr>
      <xdr:pic>
        <xdr:nvPicPr>
          <xdr:cNvPr id="103534" name="Picture 1">
            <a:extLst>
              <a:ext uri="{FF2B5EF4-FFF2-40B4-BE49-F238E27FC236}">
                <a16:creationId xmlns:a16="http://schemas.microsoft.com/office/drawing/2014/main" id="{00000000-0008-0000-0800-00006E94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32</xdr:col>
      <xdr:colOff>428625</xdr:colOff>
      <xdr:row>28</xdr:row>
      <xdr:rowOff>47625</xdr:rowOff>
    </xdr:from>
    <xdr:to>
      <xdr:col>53</xdr:col>
      <xdr:colOff>118383</xdr:colOff>
      <xdr:row>37</xdr:row>
      <xdr:rowOff>161925</xdr:rowOff>
    </xdr:to>
    <xdr:pic>
      <xdr:nvPicPr>
        <xdr:cNvPr id="103533" name="図 5">
          <a:extLst>
            <a:ext uri="{FF2B5EF4-FFF2-40B4-BE49-F238E27FC236}">
              <a16:creationId xmlns:a16="http://schemas.microsoft.com/office/drawing/2014/main" id="{00000000-0008-0000-0800-00006D94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01400" y="7667625"/>
          <a:ext cx="5400675" cy="24479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103425" name="Check Box 1" hidden="1">
              <a:extLst>
                <a:ext uri="{63B3BB69-23CF-44E3-9099-C40C66FF867C}">
                  <a14:compatExt spid="_x0000_s103425"/>
                </a:ext>
                <a:ext uri="{FF2B5EF4-FFF2-40B4-BE49-F238E27FC236}">
                  <a16:creationId xmlns:a16="http://schemas.microsoft.com/office/drawing/2014/main" id="{00000000-0008-0000-0800-000001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103426" name="Check Box 2" hidden="1">
              <a:extLst>
                <a:ext uri="{63B3BB69-23CF-44E3-9099-C40C66FF867C}">
                  <a14:compatExt spid="_x0000_s103426"/>
                </a:ext>
                <a:ext uri="{FF2B5EF4-FFF2-40B4-BE49-F238E27FC236}">
                  <a16:creationId xmlns:a16="http://schemas.microsoft.com/office/drawing/2014/main" id="{00000000-0008-0000-0800-000002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103427" name="Check Box 3" hidden="1">
              <a:extLst>
                <a:ext uri="{63B3BB69-23CF-44E3-9099-C40C66FF867C}">
                  <a14:compatExt spid="_x0000_s103427"/>
                </a:ext>
                <a:ext uri="{FF2B5EF4-FFF2-40B4-BE49-F238E27FC236}">
                  <a16:creationId xmlns:a16="http://schemas.microsoft.com/office/drawing/2014/main" id="{00000000-0008-0000-0800-000003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103428" name="Check Box 4" hidden="1">
              <a:extLst>
                <a:ext uri="{63B3BB69-23CF-44E3-9099-C40C66FF867C}">
                  <a14:compatExt spid="_x0000_s103428"/>
                </a:ext>
                <a:ext uri="{FF2B5EF4-FFF2-40B4-BE49-F238E27FC236}">
                  <a16:creationId xmlns:a16="http://schemas.microsoft.com/office/drawing/2014/main" id="{00000000-0008-0000-0800-000004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103429" name="Check Box 5" hidden="1">
              <a:extLst>
                <a:ext uri="{63B3BB69-23CF-44E3-9099-C40C66FF867C}">
                  <a14:compatExt spid="_x0000_s103429"/>
                </a:ext>
                <a:ext uri="{FF2B5EF4-FFF2-40B4-BE49-F238E27FC236}">
                  <a16:creationId xmlns:a16="http://schemas.microsoft.com/office/drawing/2014/main" id="{00000000-0008-0000-0800-000005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103430" name="Check Box 6" hidden="1">
              <a:extLst>
                <a:ext uri="{63B3BB69-23CF-44E3-9099-C40C66FF867C}">
                  <a14:compatExt spid="_x0000_s103430"/>
                </a:ext>
                <a:ext uri="{FF2B5EF4-FFF2-40B4-BE49-F238E27FC236}">
                  <a16:creationId xmlns:a16="http://schemas.microsoft.com/office/drawing/2014/main" id="{00000000-0008-0000-0800-000006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103431" name="Check Box 7" hidden="1">
              <a:extLst>
                <a:ext uri="{63B3BB69-23CF-44E3-9099-C40C66FF867C}">
                  <a14:compatExt spid="_x0000_s103431"/>
                </a:ext>
                <a:ext uri="{FF2B5EF4-FFF2-40B4-BE49-F238E27FC236}">
                  <a16:creationId xmlns:a16="http://schemas.microsoft.com/office/drawing/2014/main" id="{00000000-0008-0000-0800-000007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103432" name="Check Box 8" hidden="1">
              <a:extLst>
                <a:ext uri="{63B3BB69-23CF-44E3-9099-C40C66FF867C}">
                  <a14:compatExt spid="_x0000_s103432"/>
                </a:ext>
                <a:ext uri="{FF2B5EF4-FFF2-40B4-BE49-F238E27FC236}">
                  <a16:creationId xmlns:a16="http://schemas.microsoft.com/office/drawing/2014/main" id="{00000000-0008-0000-0800-000008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103433" name="Check Box 9" hidden="1">
              <a:extLst>
                <a:ext uri="{63B3BB69-23CF-44E3-9099-C40C66FF867C}">
                  <a14:compatExt spid="_x0000_s103433"/>
                </a:ext>
                <a:ext uri="{FF2B5EF4-FFF2-40B4-BE49-F238E27FC236}">
                  <a16:creationId xmlns:a16="http://schemas.microsoft.com/office/drawing/2014/main" id="{00000000-0008-0000-0800-000009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103434" name="Check Box 10" hidden="1">
              <a:extLst>
                <a:ext uri="{63B3BB69-23CF-44E3-9099-C40C66FF867C}">
                  <a14:compatExt spid="_x0000_s103434"/>
                </a:ext>
                <a:ext uri="{FF2B5EF4-FFF2-40B4-BE49-F238E27FC236}">
                  <a16:creationId xmlns:a16="http://schemas.microsoft.com/office/drawing/2014/main" id="{00000000-0008-0000-0800-00000A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103446" name="Check Box 22" hidden="1">
              <a:extLst>
                <a:ext uri="{63B3BB69-23CF-44E3-9099-C40C66FF867C}">
                  <a14:compatExt spid="_x0000_s103446"/>
                </a:ext>
                <a:ext uri="{FF2B5EF4-FFF2-40B4-BE49-F238E27FC236}">
                  <a16:creationId xmlns:a16="http://schemas.microsoft.com/office/drawing/2014/main" id="{00000000-0008-0000-0800-000016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103447" name="Check Box 23" hidden="1">
              <a:extLst>
                <a:ext uri="{63B3BB69-23CF-44E3-9099-C40C66FF867C}">
                  <a14:compatExt spid="_x0000_s103447"/>
                </a:ext>
                <a:ext uri="{FF2B5EF4-FFF2-40B4-BE49-F238E27FC236}">
                  <a16:creationId xmlns:a16="http://schemas.microsoft.com/office/drawing/2014/main" id="{00000000-0008-0000-0800-000017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103448" name="Check Box 24" hidden="1">
              <a:extLst>
                <a:ext uri="{63B3BB69-23CF-44E3-9099-C40C66FF867C}">
                  <a14:compatExt spid="_x0000_s103448"/>
                </a:ext>
                <a:ext uri="{FF2B5EF4-FFF2-40B4-BE49-F238E27FC236}">
                  <a16:creationId xmlns:a16="http://schemas.microsoft.com/office/drawing/2014/main" id="{00000000-0008-0000-0800-000018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103457" name="Check Box 33" hidden="1">
              <a:extLst>
                <a:ext uri="{63B3BB69-23CF-44E3-9099-C40C66FF867C}">
                  <a14:compatExt spid="_x0000_s103457"/>
                </a:ext>
                <a:ext uri="{FF2B5EF4-FFF2-40B4-BE49-F238E27FC236}">
                  <a16:creationId xmlns:a16="http://schemas.microsoft.com/office/drawing/2014/main" id="{00000000-0008-0000-0800-000021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103458" name="Check Box 34" hidden="1">
              <a:extLst>
                <a:ext uri="{63B3BB69-23CF-44E3-9099-C40C66FF867C}">
                  <a14:compatExt spid="_x0000_s103458"/>
                </a:ext>
                <a:ext uri="{FF2B5EF4-FFF2-40B4-BE49-F238E27FC236}">
                  <a16:creationId xmlns:a16="http://schemas.microsoft.com/office/drawing/2014/main" id="{00000000-0008-0000-0800-000022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103459" name="Check Box 35" hidden="1">
              <a:extLst>
                <a:ext uri="{63B3BB69-23CF-44E3-9099-C40C66FF867C}">
                  <a14:compatExt spid="_x0000_s103459"/>
                </a:ext>
                <a:ext uri="{FF2B5EF4-FFF2-40B4-BE49-F238E27FC236}">
                  <a16:creationId xmlns:a16="http://schemas.microsoft.com/office/drawing/2014/main" id="{00000000-0008-0000-0800-000023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103460" name="Check Box 36" hidden="1">
              <a:extLst>
                <a:ext uri="{63B3BB69-23CF-44E3-9099-C40C66FF867C}">
                  <a14:compatExt spid="_x0000_s103460"/>
                </a:ext>
                <a:ext uri="{FF2B5EF4-FFF2-40B4-BE49-F238E27FC236}">
                  <a16:creationId xmlns:a16="http://schemas.microsoft.com/office/drawing/2014/main" id="{00000000-0008-0000-0800-0000249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95250</xdr:colOff>
      <xdr:row>22</xdr:row>
      <xdr:rowOff>266700</xdr:rowOff>
    </xdr:from>
    <xdr:to>
      <xdr:col>7</xdr:col>
      <xdr:colOff>228600</xdr:colOff>
      <xdr:row>36</xdr:row>
      <xdr:rowOff>9525</xdr:rowOff>
    </xdr:to>
    <xdr:grpSp>
      <xdr:nvGrpSpPr>
        <xdr:cNvPr id="104556" name="グループ化 2">
          <a:extLst>
            <a:ext uri="{FF2B5EF4-FFF2-40B4-BE49-F238E27FC236}">
              <a16:creationId xmlns:a16="http://schemas.microsoft.com/office/drawing/2014/main" id="{00000000-0008-0000-0900-00006C980100}"/>
            </a:ext>
          </a:extLst>
        </xdr:cNvPr>
        <xdr:cNvGrpSpPr>
          <a:grpSpLocks/>
        </xdr:cNvGrpSpPr>
      </xdr:nvGrpSpPr>
      <xdr:grpSpPr bwMode="auto">
        <a:xfrm>
          <a:off x="422910" y="6065520"/>
          <a:ext cx="1466850" cy="3430905"/>
          <a:chOff x="381000" y="5495925"/>
          <a:chExt cx="1609725" cy="2628900"/>
        </a:xfrm>
      </xdr:grpSpPr>
      <xdr:pic>
        <xdr:nvPicPr>
          <xdr:cNvPr id="104558" name="Picture 1">
            <a:extLst>
              <a:ext uri="{FF2B5EF4-FFF2-40B4-BE49-F238E27FC236}">
                <a16:creationId xmlns:a16="http://schemas.microsoft.com/office/drawing/2014/main" id="{00000000-0008-0000-0900-00006E98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495925"/>
            <a:ext cx="1609725" cy="2095500"/>
          </a:xfrm>
          <a:prstGeom prst="rect">
            <a:avLst/>
          </a:prstGeom>
          <a:noFill/>
          <a:ln w="9525">
            <a:noFill/>
            <a:miter lim="800000"/>
            <a:headEnd/>
            <a:tailEnd/>
          </a:ln>
        </xdr:spPr>
      </xdr:pic>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447675" y="7810500"/>
            <a:ext cx="1466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twoCellAnchor editAs="oneCell">
    <xdr:from>
      <xdr:col>32</xdr:col>
      <xdr:colOff>771525</xdr:colOff>
      <xdr:row>29</xdr:row>
      <xdr:rowOff>238125</xdr:rowOff>
    </xdr:from>
    <xdr:to>
      <xdr:col>52</xdr:col>
      <xdr:colOff>622566</xdr:colOff>
      <xdr:row>39</xdr:row>
      <xdr:rowOff>77561</xdr:rowOff>
    </xdr:to>
    <xdr:pic>
      <xdr:nvPicPr>
        <xdr:cNvPr id="104557" name="図 5">
          <a:extLst>
            <a:ext uri="{FF2B5EF4-FFF2-40B4-BE49-F238E27FC236}">
              <a16:creationId xmlns:a16="http://schemas.microsoft.com/office/drawing/2014/main" id="{00000000-0008-0000-0900-00006D98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70846" y="7885339"/>
          <a:ext cx="5380264" cy="241118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45720</xdr:rowOff>
        </xdr:from>
        <xdr:to>
          <xdr:col>14</xdr:col>
          <xdr:colOff>198120</xdr:colOff>
          <xdr:row>7</xdr:row>
          <xdr:rowOff>259080</xdr:rowOff>
        </xdr:to>
        <xdr:sp macro="" textlink="">
          <xdr:nvSpPr>
            <xdr:cNvPr id="104449" name="Check Box 1" hidden="1">
              <a:extLst>
                <a:ext uri="{63B3BB69-23CF-44E3-9099-C40C66FF867C}">
                  <a14:compatExt spid="_x0000_s104449"/>
                </a:ext>
                <a:ext uri="{FF2B5EF4-FFF2-40B4-BE49-F238E27FC236}">
                  <a16:creationId xmlns:a16="http://schemas.microsoft.com/office/drawing/2014/main" id="{00000000-0008-0000-0900-000001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45720</xdr:rowOff>
        </xdr:from>
        <xdr:to>
          <xdr:col>14</xdr:col>
          <xdr:colOff>198120</xdr:colOff>
          <xdr:row>8</xdr:row>
          <xdr:rowOff>259080</xdr:rowOff>
        </xdr:to>
        <xdr:sp macro="" textlink="">
          <xdr:nvSpPr>
            <xdr:cNvPr id="104450" name="Check Box 2" hidden="1">
              <a:extLst>
                <a:ext uri="{63B3BB69-23CF-44E3-9099-C40C66FF867C}">
                  <a14:compatExt spid="_x0000_s104450"/>
                </a:ext>
                <a:ext uri="{FF2B5EF4-FFF2-40B4-BE49-F238E27FC236}">
                  <a16:creationId xmlns:a16="http://schemas.microsoft.com/office/drawing/2014/main" id="{00000000-0008-0000-0900-000002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45720</xdr:rowOff>
        </xdr:from>
        <xdr:to>
          <xdr:col>14</xdr:col>
          <xdr:colOff>198120</xdr:colOff>
          <xdr:row>14</xdr:row>
          <xdr:rowOff>259080</xdr:rowOff>
        </xdr:to>
        <xdr:sp macro="" textlink="">
          <xdr:nvSpPr>
            <xdr:cNvPr id="104451" name="Check Box 3" hidden="1">
              <a:extLst>
                <a:ext uri="{63B3BB69-23CF-44E3-9099-C40C66FF867C}">
                  <a14:compatExt spid="_x0000_s104451"/>
                </a:ext>
                <a:ext uri="{FF2B5EF4-FFF2-40B4-BE49-F238E27FC236}">
                  <a16:creationId xmlns:a16="http://schemas.microsoft.com/office/drawing/2014/main" id="{00000000-0008-0000-0900-000003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45720</xdr:rowOff>
        </xdr:from>
        <xdr:to>
          <xdr:col>14</xdr:col>
          <xdr:colOff>198120</xdr:colOff>
          <xdr:row>15</xdr:row>
          <xdr:rowOff>259080</xdr:rowOff>
        </xdr:to>
        <xdr:sp macro="" textlink="">
          <xdr:nvSpPr>
            <xdr:cNvPr id="104452" name="Check Box 4" hidden="1">
              <a:extLst>
                <a:ext uri="{63B3BB69-23CF-44E3-9099-C40C66FF867C}">
                  <a14:compatExt spid="_x0000_s104452"/>
                </a:ext>
                <a:ext uri="{FF2B5EF4-FFF2-40B4-BE49-F238E27FC236}">
                  <a16:creationId xmlns:a16="http://schemas.microsoft.com/office/drawing/2014/main" id="{00000000-0008-0000-0900-000004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45720</xdr:rowOff>
        </xdr:from>
        <xdr:to>
          <xdr:col>14</xdr:col>
          <xdr:colOff>198120</xdr:colOff>
          <xdr:row>16</xdr:row>
          <xdr:rowOff>259080</xdr:rowOff>
        </xdr:to>
        <xdr:sp macro="" textlink="">
          <xdr:nvSpPr>
            <xdr:cNvPr id="104453" name="Check Box 5" hidden="1">
              <a:extLst>
                <a:ext uri="{63B3BB69-23CF-44E3-9099-C40C66FF867C}">
                  <a14:compatExt spid="_x0000_s104453"/>
                </a:ext>
                <a:ext uri="{FF2B5EF4-FFF2-40B4-BE49-F238E27FC236}">
                  <a16:creationId xmlns:a16="http://schemas.microsoft.com/office/drawing/2014/main" id="{00000000-0008-0000-0900-000005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45720</xdr:rowOff>
        </xdr:from>
        <xdr:to>
          <xdr:col>14</xdr:col>
          <xdr:colOff>198120</xdr:colOff>
          <xdr:row>17</xdr:row>
          <xdr:rowOff>259080</xdr:rowOff>
        </xdr:to>
        <xdr:sp macro="" textlink="">
          <xdr:nvSpPr>
            <xdr:cNvPr id="104454" name="Check Box 6" hidden="1">
              <a:extLst>
                <a:ext uri="{63B3BB69-23CF-44E3-9099-C40C66FF867C}">
                  <a14:compatExt spid="_x0000_s104454"/>
                </a:ext>
                <a:ext uri="{FF2B5EF4-FFF2-40B4-BE49-F238E27FC236}">
                  <a16:creationId xmlns:a16="http://schemas.microsoft.com/office/drawing/2014/main" id="{00000000-0008-0000-0900-000006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45720</xdr:rowOff>
        </xdr:from>
        <xdr:to>
          <xdr:col>14</xdr:col>
          <xdr:colOff>198120</xdr:colOff>
          <xdr:row>18</xdr:row>
          <xdr:rowOff>259080</xdr:rowOff>
        </xdr:to>
        <xdr:sp macro="" textlink="">
          <xdr:nvSpPr>
            <xdr:cNvPr id="104455" name="Check Box 7" hidden="1">
              <a:extLst>
                <a:ext uri="{63B3BB69-23CF-44E3-9099-C40C66FF867C}">
                  <a14:compatExt spid="_x0000_s104455"/>
                </a:ext>
                <a:ext uri="{FF2B5EF4-FFF2-40B4-BE49-F238E27FC236}">
                  <a16:creationId xmlns:a16="http://schemas.microsoft.com/office/drawing/2014/main" id="{00000000-0008-0000-0900-000007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45720</xdr:rowOff>
        </xdr:from>
        <xdr:to>
          <xdr:col>14</xdr:col>
          <xdr:colOff>198120</xdr:colOff>
          <xdr:row>9</xdr:row>
          <xdr:rowOff>259080</xdr:rowOff>
        </xdr:to>
        <xdr:sp macro="" textlink="">
          <xdr:nvSpPr>
            <xdr:cNvPr id="104456" name="Check Box 8" hidden="1">
              <a:extLst>
                <a:ext uri="{63B3BB69-23CF-44E3-9099-C40C66FF867C}">
                  <a14:compatExt spid="_x0000_s104456"/>
                </a:ext>
                <a:ext uri="{FF2B5EF4-FFF2-40B4-BE49-F238E27FC236}">
                  <a16:creationId xmlns:a16="http://schemas.microsoft.com/office/drawing/2014/main" id="{00000000-0008-0000-0900-000008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45720</xdr:rowOff>
        </xdr:from>
        <xdr:to>
          <xdr:col>14</xdr:col>
          <xdr:colOff>198120</xdr:colOff>
          <xdr:row>10</xdr:row>
          <xdr:rowOff>259080</xdr:rowOff>
        </xdr:to>
        <xdr:sp macro="" textlink="">
          <xdr:nvSpPr>
            <xdr:cNvPr id="104457" name="Check Box 9" hidden="1">
              <a:extLst>
                <a:ext uri="{63B3BB69-23CF-44E3-9099-C40C66FF867C}">
                  <a14:compatExt spid="_x0000_s104457"/>
                </a:ext>
                <a:ext uri="{FF2B5EF4-FFF2-40B4-BE49-F238E27FC236}">
                  <a16:creationId xmlns:a16="http://schemas.microsoft.com/office/drawing/2014/main" id="{00000000-0008-0000-0900-000009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45720</xdr:rowOff>
        </xdr:from>
        <xdr:to>
          <xdr:col>14</xdr:col>
          <xdr:colOff>198120</xdr:colOff>
          <xdr:row>13</xdr:row>
          <xdr:rowOff>259080</xdr:rowOff>
        </xdr:to>
        <xdr:sp macro="" textlink="">
          <xdr:nvSpPr>
            <xdr:cNvPr id="104458" name="Check Box 10" hidden="1">
              <a:extLst>
                <a:ext uri="{63B3BB69-23CF-44E3-9099-C40C66FF867C}">
                  <a14:compatExt spid="_x0000_s104458"/>
                </a:ext>
                <a:ext uri="{FF2B5EF4-FFF2-40B4-BE49-F238E27FC236}">
                  <a16:creationId xmlns:a16="http://schemas.microsoft.com/office/drawing/2014/main" id="{00000000-0008-0000-0900-00000A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45720</xdr:rowOff>
        </xdr:from>
        <xdr:to>
          <xdr:col>20</xdr:col>
          <xdr:colOff>198120</xdr:colOff>
          <xdr:row>32</xdr:row>
          <xdr:rowOff>259080</xdr:rowOff>
        </xdr:to>
        <xdr:sp macro="" textlink="">
          <xdr:nvSpPr>
            <xdr:cNvPr id="104470" name="Check Box 22" hidden="1">
              <a:extLst>
                <a:ext uri="{63B3BB69-23CF-44E3-9099-C40C66FF867C}">
                  <a14:compatExt spid="_x0000_s104470"/>
                </a:ext>
                <a:ext uri="{FF2B5EF4-FFF2-40B4-BE49-F238E27FC236}">
                  <a16:creationId xmlns:a16="http://schemas.microsoft.com/office/drawing/2014/main" id="{00000000-0008-0000-0900-000016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45720</xdr:rowOff>
        </xdr:from>
        <xdr:to>
          <xdr:col>20</xdr:col>
          <xdr:colOff>198120</xdr:colOff>
          <xdr:row>35</xdr:row>
          <xdr:rowOff>259080</xdr:rowOff>
        </xdr:to>
        <xdr:sp macro="" textlink="">
          <xdr:nvSpPr>
            <xdr:cNvPr id="104471" name="Check Box 23" hidden="1">
              <a:extLst>
                <a:ext uri="{63B3BB69-23CF-44E3-9099-C40C66FF867C}">
                  <a14:compatExt spid="_x0000_s104471"/>
                </a:ext>
                <a:ext uri="{FF2B5EF4-FFF2-40B4-BE49-F238E27FC236}">
                  <a16:creationId xmlns:a16="http://schemas.microsoft.com/office/drawing/2014/main" id="{00000000-0008-0000-0900-000017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45720</xdr:rowOff>
        </xdr:from>
        <xdr:to>
          <xdr:col>20</xdr:col>
          <xdr:colOff>198120</xdr:colOff>
          <xdr:row>36</xdr:row>
          <xdr:rowOff>259080</xdr:rowOff>
        </xdr:to>
        <xdr:sp macro="" textlink="">
          <xdr:nvSpPr>
            <xdr:cNvPr id="104472" name="Check Box 24" hidden="1">
              <a:extLst>
                <a:ext uri="{63B3BB69-23CF-44E3-9099-C40C66FF867C}">
                  <a14:compatExt spid="_x0000_s104472"/>
                </a:ext>
                <a:ext uri="{FF2B5EF4-FFF2-40B4-BE49-F238E27FC236}">
                  <a16:creationId xmlns:a16="http://schemas.microsoft.com/office/drawing/2014/main" id="{00000000-0008-0000-0900-000018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45720</xdr:rowOff>
        </xdr:from>
        <xdr:to>
          <xdr:col>14</xdr:col>
          <xdr:colOff>198120</xdr:colOff>
          <xdr:row>11</xdr:row>
          <xdr:rowOff>259080</xdr:rowOff>
        </xdr:to>
        <xdr:sp macro="" textlink="">
          <xdr:nvSpPr>
            <xdr:cNvPr id="104481" name="Check Box 33" hidden="1">
              <a:extLst>
                <a:ext uri="{63B3BB69-23CF-44E3-9099-C40C66FF867C}">
                  <a14:compatExt spid="_x0000_s104481"/>
                </a:ext>
                <a:ext uri="{FF2B5EF4-FFF2-40B4-BE49-F238E27FC236}">
                  <a16:creationId xmlns:a16="http://schemas.microsoft.com/office/drawing/2014/main" id="{00000000-0008-0000-0900-000021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45720</xdr:rowOff>
        </xdr:from>
        <xdr:to>
          <xdr:col>14</xdr:col>
          <xdr:colOff>198120</xdr:colOff>
          <xdr:row>12</xdr:row>
          <xdr:rowOff>259080</xdr:rowOff>
        </xdr:to>
        <xdr:sp macro="" textlink="">
          <xdr:nvSpPr>
            <xdr:cNvPr id="104482" name="Check Box 34" hidden="1">
              <a:extLst>
                <a:ext uri="{63B3BB69-23CF-44E3-9099-C40C66FF867C}">
                  <a14:compatExt spid="_x0000_s104482"/>
                </a:ext>
                <a:ext uri="{FF2B5EF4-FFF2-40B4-BE49-F238E27FC236}">
                  <a16:creationId xmlns:a16="http://schemas.microsoft.com/office/drawing/2014/main" id="{00000000-0008-0000-0900-000022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33</xdr:row>
          <xdr:rowOff>45720</xdr:rowOff>
        </xdr:from>
        <xdr:to>
          <xdr:col>20</xdr:col>
          <xdr:colOff>198120</xdr:colOff>
          <xdr:row>33</xdr:row>
          <xdr:rowOff>259080</xdr:rowOff>
        </xdr:to>
        <xdr:sp macro="" textlink="">
          <xdr:nvSpPr>
            <xdr:cNvPr id="104484" name="Check Box 36" hidden="1">
              <a:extLst>
                <a:ext uri="{63B3BB69-23CF-44E3-9099-C40C66FF867C}">
                  <a14:compatExt spid="_x0000_s104484"/>
                </a:ext>
                <a:ext uri="{FF2B5EF4-FFF2-40B4-BE49-F238E27FC236}">
                  <a16:creationId xmlns:a16="http://schemas.microsoft.com/office/drawing/2014/main" id="{00000000-0008-0000-0900-000024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45720</xdr:rowOff>
        </xdr:from>
        <xdr:to>
          <xdr:col>20</xdr:col>
          <xdr:colOff>198120</xdr:colOff>
          <xdr:row>34</xdr:row>
          <xdr:rowOff>259080</xdr:rowOff>
        </xdr:to>
        <xdr:sp macro="" textlink="">
          <xdr:nvSpPr>
            <xdr:cNvPr id="104485" name="Check Box 37" hidden="1">
              <a:extLst>
                <a:ext uri="{63B3BB69-23CF-44E3-9099-C40C66FF867C}">
                  <a14:compatExt spid="_x0000_s104485"/>
                </a:ext>
                <a:ext uri="{FF2B5EF4-FFF2-40B4-BE49-F238E27FC236}">
                  <a16:creationId xmlns:a16="http://schemas.microsoft.com/office/drawing/2014/main" id="{00000000-0008-0000-0900-000025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8" Type="http://schemas.openxmlformats.org/officeDocument/2006/relationships/ctrlProp" Target="../ctrlProps/ctrlProp139.xml" />
  <Relationship Id="rId13" Type="http://schemas.openxmlformats.org/officeDocument/2006/relationships/ctrlProp" Target="../ctrlProps/ctrlProp144.xml" />
  <Relationship Id="rId18" Type="http://schemas.openxmlformats.org/officeDocument/2006/relationships/ctrlProp" Target="../ctrlProps/ctrlProp149.xml" />
  <Relationship Id="rId3" Type="http://schemas.openxmlformats.org/officeDocument/2006/relationships/vmlDrawing" Target="../drawings/vmlDrawing9.vml" />
  <Relationship Id="rId21" Type="http://schemas.openxmlformats.org/officeDocument/2006/relationships/comments" Target="../comments8.xml" />
  <Relationship Id="rId7" Type="http://schemas.openxmlformats.org/officeDocument/2006/relationships/ctrlProp" Target="../ctrlProps/ctrlProp138.xml" />
  <Relationship Id="rId12" Type="http://schemas.openxmlformats.org/officeDocument/2006/relationships/ctrlProp" Target="../ctrlProps/ctrlProp143.xml" />
  <Relationship Id="rId17" Type="http://schemas.openxmlformats.org/officeDocument/2006/relationships/ctrlProp" Target="../ctrlProps/ctrlProp148.xml" />
  <Relationship Id="rId2" Type="http://schemas.openxmlformats.org/officeDocument/2006/relationships/drawing" Target="../drawings/drawing9.xml" />
  <Relationship Id="rId16" Type="http://schemas.openxmlformats.org/officeDocument/2006/relationships/ctrlProp" Target="../ctrlProps/ctrlProp147.xml" />
  <Relationship Id="rId20" Type="http://schemas.openxmlformats.org/officeDocument/2006/relationships/ctrlProp" Target="../ctrlProps/ctrlProp151.xml" />
  <Relationship Id="rId1" Type="http://schemas.openxmlformats.org/officeDocument/2006/relationships/printerSettings" Target="../printerSettings/printerSettings10.bin" />
  <Relationship Id="rId6" Type="http://schemas.openxmlformats.org/officeDocument/2006/relationships/ctrlProp" Target="../ctrlProps/ctrlProp137.xml" />
  <Relationship Id="rId11" Type="http://schemas.openxmlformats.org/officeDocument/2006/relationships/ctrlProp" Target="../ctrlProps/ctrlProp142.xml" />
  <Relationship Id="rId5" Type="http://schemas.openxmlformats.org/officeDocument/2006/relationships/ctrlProp" Target="../ctrlProps/ctrlProp136.xml" />
  <Relationship Id="rId15" Type="http://schemas.openxmlformats.org/officeDocument/2006/relationships/ctrlProp" Target="../ctrlProps/ctrlProp146.xml" />
  <Relationship Id="rId10" Type="http://schemas.openxmlformats.org/officeDocument/2006/relationships/ctrlProp" Target="../ctrlProps/ctrlProp141.xml" />
  <Relationship Id="rId19" Type="http://schemas.openxmlformats.org/officeDocument/2006/relationships/ctrlProp" Target="../ctrlProps/ctrlProp150.xml" />
  <Relationship Id="rId4" Type="http://schemas.openxmlformats.org/officeDocument/2006/relationships/ctrlProp" Target="../ctrlProps/ctrlProp135.xml" />
  <Relationship Id="rId9" Type="http://schemas.openxmlformats.org/officeDocument/2006/relationships/ctrlProp" Target="../ctrlProps/ctrlProp140.xml" />
  <Relationship Id="rId14" Type="http://schemas.openxmlformats.org/officeDocument/2006/relationships/ctrlProp" Target="../ctrlProps/ctrlProp145.xml"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8.xml" />
  <Relationship Id="rId13" Type="http://schemas.openxmlformats.org/officeDocument/2006/relationships/ctrlProp" Target="../ctrlProps/ctrlProp13.xml" />
  <Relationship Id="rId18" Type="http://schemas.openxmlformats.org/officeDocument/2006/relationships/ctrlProp" Target="../ctrlProps/ctrlProp18.xml" />
  <Relationship Id="rId26" Type="http://schemas.openxmlformats.org/officeDocument/2006/relationships/ctrlProp" Target="../ctrlProps/ctrlProp26.xml" />
  <Relationship Id="rId3" Type="http://schemas.openxmlformats.org/officeDocument/2006/relationships/vmlDrawing" Target="../drawings/vmlDrawing2.vml" />
  <Relationship Id="rId21" Type="http://schemas.openxmlformats.org/officeDocument/2006/relationships/ctrlProp" Target="../ctrlProps/ctrlProp21.xml" />
  <Relationship Id="rId7" Type="http://schemas.openxmlformats.org/officeDocument/2006/relationships/ctrlProp" Target="../ctrlProps/ctrlProp7.xml" />
  <Relationship Id="rId12" Type="http://schemas.openxmlformats.org/officeDocument/2006/relationships/ctrlProp" Target="../ctrlProps/ctrlProp12.xml" />
  <Relationship Id="rId17" Type="http://schemas.openxmlformats.org/officeDocument/2006/relationships/ctrlProp" Target="../ctrlProps/ctrlProp17.xml" />
  <Relationship Id="rId25" Type="http://schemas.openxmlformats.org/officeDocument/2006/relationships/ctrlProp" Target="../ctrlProps/ctrlProp25.xml" />
  <Relationship Id="rId33" Type="http://schemas.openxmlformats.org/officeDocument/2006/relationships/comments" Target="../comments1.xml" />
  <Relationship Id="rId2" Type="http://schemas.openxmlformats.org/officeDocument/2006/relationships/drawing" Target="../drawings/drawing2.xml" />
  <Relationship Id="rId16" Type="http://schemas.openxmlformats.org/officeDocument/2006/relationships/ctrlProp" Target="../ctrlProps/ctrlProp16.xml" />
  <Relationship Id="rId20" Type="http://schemas.openxmlformats.org/officeDocument/2006/relationships/ctrlProp" Target="../ctrlProps/ctrlProp20.xml" />
  <Relationship Id="rId29" Type="http://schemas.openxmlformats.org/officeDocument/2006/relationships/ctrlProp" Target="../ctrlProps/ctrlProp29.xml" />
  <Relationship Id="rId1" Type="http://schemas.openxmlformats.org/officeDocument/2006/relationships/printerSettings" Target="../printerSettings/printerSettings3.bin" />
  <Relationship Id="rId6" Type="http://schemas.openxmlformats.org/officeDocument/2006/relationships/ctrlProp" Target="../ctrlProps/ctrlProp6.xml" />
  <Relationship Id="rId11" Type="http://schemas.openxmlformats.org/officeDocument/2006/relationships/ctrlProp" Target="../ctrlProps/ctrlProp11.xml" />
  <Relationship Id="rId24" Type="http://schemas.openxmlformats.org/officeDocument/2006/relationships/ctrlProp" Target="../ctrlProps/ctrlProp24.xml" />
  <Relationship Id="rId32" Type="http://schemas.openxmlformats.org/officeDocument/2006/relationships/ctrlProp" Target="../ctrlProps/ctrlProp32.xml" />
  <Relationship Id="rId5" Type="http://schemas.openxmlformats.org/officeDocument/2006/relationships/ctrlProp" Target="../ctrlProps/ctrlProp5.xml" />
  <Relationship Id="rId15" Type="http://schemas.openxmlformats.org/officeDocument/2006/relationships/ctrlProp" Target="../ctrlProps/ctrlProp15.xml" />
  <Relationship Id="rId23" Type="http://schemas.openxmlformats.org/officeDocument/2006/relationships/ctrlProp" Target="../ctrlProps/ctrlProp23.xml" />
  <Relationship Id="rId28" Type="http://schemas.openxmlformats.org/officeDocument/2006/relationships/ctrlProp" Target="../ctrlProps/ctrlProp28.xml" />
  <Relationship Id="rId10" Type="http://schemas.openxmlformats.org/officeDocument/2006/relationships/ctrlProp" Target="../ctrlProps/ctrlProp10.xml" />
  <Relationship Id="rId19" Type="http://schemas.openxmlformats.org/officeDocument/2006/relationships/ctrlProp" Target="../ctrlProps/ctrlProp19.xml" />
  <Relationship Id="rId31" Type="http://schemas.openxmlformats.org/officeDocument/2006/relationships/ctrlProp" Target="../ctrlProps/ctrlProp31.xml" />
  <Relationship Id="rId4" Type="http://schemas.openxmlformats.org/officeDocument/2006/relationships/ctrlProp" Target="../ctrlProps/ctrlProp4.xml" />
  <Relationship Id="rId9" Type="http://schemas.openxmlformats.org/officeDocument/2006/relationships/ctrlProp" Target="../ctrlProps/ctrlProp9.xml" />
  <Relationship Id="rId14" Type="http://schemas.openxmlformats.org/officeDocument/2006/relationships/ctrlProp" Target="../ctrlProps/ctrlProp14.xml" />
  <Relationship Id="rId22" Type="http://schemas.openxmlformats.org/officeDocument/2006/relationships/ctrlProp" Target="../ctrlProps/ctrlProp22.xml" />
  <Relationship Id="rId27" Type="http://schemas.openxmlformats.org/officeDocument/2006/relationships/ctrlProp" Target="../ctrlProps/ctrlProp27.xml" />
  <Relationship Id="rId30" Type="http://schemas.openxmlformats.org/officeDocument/2006/relationships/ctrlProp" Target="../ctrlProps/ctrlProp30.xml"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37.xml" />
  <Relationship Id="rId13" Type="http://schemas.openxmlformats.org/officeDocument/2006/relationships/ctrlProp" Target="../ctrlProps/ctrlProp42.xml" />
  <Relationship Id="rId18" Type="http://schemas.openxmlformats.org/officeDocument/2006/relationships/ctrlProp" Target="../ctrlProps/ctrlProp47.xml" />
  <Relationship Id="rId3" Type="http://schemas.openxmlformats.org/officeDocument/2006/relationships/vmlDrawing" Target="../drawings/vmlDrawing3.vml" />
  <Relationship Id="rId21" Type="http://schemas.openxmlformats.org/officeDocument/2006/relationships/comments" Target="../comments2.xml" />
  <Relationship Id="rId7" Type="http://schemas.openxmlformats.org/officeDocument/2006/relationships/ctrlProp" Target="../ctrlProps/ctrlProp36.xml" />
  <Relationship Id="rId12" Type="http://schemas.openxmlformats.org/officeDocument/2006/relationships/ctrlProp" Target="../ctrlProps/ctrlProp41.xml" />
  <Relationship Id="rId17" Type="http://schemas.openxmlformats.org/officeDocument/2006/relationships/ctrlProp" Target="../ctrlProps/ctrlProp46.xml" />
  <Relationship Id="rId2" Type="http://schemas.openxmlformats.org/officeDocument/2006/relationships/drawing" Target="../drawings/drawing3.xml" />
  <Relationship Id="rId16" Type="http://schemas.openxmlformats.org/officeDocument/2006/relationships/ctrlProp" Target="../ctrlProps/ctrlProp45.xml" />
  <Relationship Id="rId20" Type="http://schemas.openxmlformats.org/officeDocument/2006/relationships/ctrlProp" Target="../ctrlProps/ctrlProp49.xml" />
  <Relationship Id="rId1" Type="http://schemas.openxmlformats.org/officeDocument/2006/relationships/printerSettings" Target="../printerSettings/printerSettings4.bin" />
  <Relationship Id="rId6" Type="http://schemas.openxmlformats.org/officeDocument/2006/relationships/ctrlProp" Target="../ctrlProps/ctrlProp35.xml" />
  <Relationship Id="rId11" Type="http://schemas.openxmlformats.org/officeDocument/2006/relationships/ctrlProp" Target="../ctrlProps/ctrlProp40.xml" />
  <Relationship Id="rId5" Type="http://schemas.openxmlformats.org/officeDocument/2006/relationships/ctrlProp" Target="../ctrlProps/ctrlProp34.xml" />
  <Relationship Id="rId15" Type="http://schemas.openxmlformats.org/officeDocument/2006/relationships/ctrlProp" Target="../ctrlProps/ctrlProp44.xml" />
  <Relationship Id="rId10" Type="http://schemas.openxmlformats.org/officeDocument/2006/relationships/ctrlProp" Target="../ctrlProps/ctrlProp39.xml" />
  <Relationship Id="rId19" Type="http://schemas.openxmlformats.org/officeDocument/2006/relationships/ctrlProp" Target="../ctrlProps/ctrlProp48.xml" />
  <Relationship Id="rId4" Type="http://schemas.openxmlformats.org/officeDocument/2006/relationships/ctrlProp" Target="../ctrlProps/ctrlProp33.xml" />
  <Relationship Id="rId9" Type="http://schemas.openxmlformats.org/officeDocument/2006/relationships/ctrlProp" Target="../ctrlProps/ctrlProp38.xml" />
  <Relationship Id="rId14" Type="http://schemas.openxmlformats.org/officeDocument/2006/relationships/ctrlProp" Target="../ctrlProps/ctrlProp43.x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54.xml" />
  <Relationship Id="rId13" Type="http://schemas.openxmlformats.org/officeDocument/2006/relationships/ctrlProp" Target="../ctrlProps/ctrlProp59.xml" />
  <Relationship Id="rId18" Type="http://schemas.openxmlformats.org/officeDocument/2006/relationships/ctrlProp" Target="../ctrlProps/ctrlProp64.xml" />
  <Relationship Id="rId3" Type="http://schemas.openxmlformats.org/officeDocument/2006/relationships/vmlDrawing" Target="../drawings/vmlDrawing4.vml" />
  <Relationship Id="rId21" Type="http://schemas.openxmlformats.org/officeDocument/2006/relationships/comments" Target="../comments3.xml" />
  <Relationship Id="rId7" Type="http://schemas.openxmlformats.org/officeDocument/2006/relationships/ctrlProp" Target="../ctrlProps/ctrlProp53.xml" />
  <Relationship Id="rId12" Type="http://schemas.openxmlformats.org/officeDocument/2006/relationships/ctrlProp" Target="../ctrlProps/ctrlProp58.xml" />
  <Relationship Id="rId17" Type="http://schemas.openxmlformats.org/officeDocument/2006/relationships/ctrlProp" Target="../ctrlProps/ctrlProp63.xml" />
  <Relationship Id="rId2" Type="http://schemas.openxmlformats.org/officeDocument/2006/relationships/drawing" Target="../drawings/drawing4.xml" />
  <Relationship Id="rId16" Type="http://schemas.openxmlformats.org/officeDocument/2006/relationships/ctrlProp" Target="../ctrlProps/ctrlProp62.xml" />
  <Relationship Id="rId20" Type="http://schemas.openxmlformats.org/officeDocument/2006/relationships/ctrlProp" Target="../ctrlProps/ctrlProp66.xml" />
  <Relationship Id="rId1" Type="http://schemas.openxmlformats.org/officeDocument/2006/relationships/printerSettings" Target="../printerSettings/printerSettings5.bin" />
  <Relationship Id="rId6" Type="http://schemas.openxmlformats.org/officeDocument/2006/relationships/ctrlProp" Target="../ctrlProps/ctrlProp52.xml" />
  <Relationship Id="rId11" Type="http://schemas.openxmlformats.org/officeDocument/2006/relationships/ctrlProp" Target="../ctrlProps/ctrlProp57.xml" />
  <Relationship Id="rId5" Type="http://schemas.openxmlformats.org/officeDocument/2006/relationships/ctrlProp" Target="../ctrlProps/ctrlProp51.xml" />
  <Relationship Id="rId15" Type="http://schemas.openxmlformats.org/officeDocument/2006/relationships/ctrlProp" Target="../ctrlProps/ctrlProp61.xml" />
  <Relationship Id="rId10" Type="http://schemas.openxmlformats.org/officeDocument/2006/relationships/ctrlProp" Target="../ctrlProps/ctrlProp56.xml" />
  <Relationship Id="rId19" Type="http://schemas.openxmlformats.org/officeDocument/2006/relationships/ctrlProp" Target="../ctrlProps/ctrlProp65.xml" />
  <Relationship Id="rId4" Type="http://schemas.openxmlformats.org/officeDocument/2006/relationships/ctrlProp" Target="../ctrlProps/ctrlProp50.xml" />
  <Relationship Id="rId9" Type="http://schemas.openxmlformats.org/officeDocument/2006/relationships/ctrlProp" Target="../ctrlProps/ctrlProp55.xml" />
  <Relationship Id="rId14" Type="http://schemas.openxmlformats.org/officeDocument/2006/relationships/ctrlProp" Target="../ctrlProps/ctrlProp60.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71.xml" />
  <Relationship Id="rId13" Type="http://schemas.openxmlformats.org/officeDocument/2006/relationships/ctrlProp" Target="../ctrlProps/ctrlProp76.xml" />
  <Relationship Id="rId18" Type="http://schemas.openxmlformats.org/officeDocument/2006/relationships/ctrlProp" Target="../ctrlProps/ctrlProp81.xml" />
  <Relationship Id="rId3" Type="http://schemas.openxmlformats.org/officeDocument/2006/relationships/vmlDrawing" Target="../drawings/vmlDrawing5.vml" />
  <Relationship Id="rId21" Type="http://schemas.openxmlformats.org/officeDocument/2006/relationships/comments" Target="../comments4.xml" />
  <Relationship Id="rId7" Type="http://schemas.openxmlformats.org/officeDocument/2006/relationships/ctrlProp" Target="../ctrlProps/ctrlProp70.xml" />
  <Relationship Id="rId12" Type="http://schemas.openxmlformats.org/officeDocument/2006/relationships/ctrlProp" Target="../ctrlProps/ctrlProp75.xml" />
  <Relationship Id="rId17" Type="http://schemas.openxmlformats.org/officeDocument/2006/relationships/ctrlProp" Target="../ctrlProps/ctrlProp80.xml" />
  <Relationship Id="rId2" Type="http://schemas.openxmlformats.org/officeDocument/2006/relationships/drawing" Target="../drawings/drawing5.xml" />
  <Relationship Id="rId16" Type="http://schemas.openxmlformats.org/officeDocument/2006/relationships/ctrlProp" Target="../ctrlProps/ctrlProp79.xml" />
  <Relationship Id="rId20" Type="http://schemas.openxmlformats.org/officeDocument/2006/relationships/ctrlProp" Target="../ctrlProps/ctrlProp83.xml" />
  <Relationship Id="rId1" Type="http://schemas.openxmlformats.org/officeDocument/2006/relationships/printerSettings" Target="../printerSettings/printerSettings6.bin" />
  <Relationship Id="rId6" Type="http://schemas.openxmlformats.org/officeDocument/2006/relationships/ctrlProp" Target="../ctrlProps/ctrlProp69.xml" />
  <Relationship Id="rId11" Type="http://schemas.openxmlformats.org/officeDocument/2006/relationships/ctrlProp" Target="../ctrlProps/ctrlProp74.xml" />
  <Relationship Id="rId5" Type="http://schemas.openxmlformats.org/officeDocument/2006/relationships/ctrlProp" Target="../ctrlProps/ctrlProp68.xml" />
  <Relationship Id="rId15" Type="http://schemas.openxmlformats.org/officeDocument/2006/relationships/ctrlProp" Target="../ctrlProps/ctrlProp78.xml" />
  <Relationship Id="rId10" Type="http://schemas.openxmlformats.org/officeDocument/2006/relationships/ctrlProp" Target="../ctrlProps/ctrlProp73.xml" />
  <Relationship Id="rId19" Type="http://schemas.openxmlformats.org/officeDocument/2006/relationships/ctrlProp" Target="../ctrlProps/ctrlProp82.xml" />
  <Relationship Id="rId4" Type="http://schemas.openxmlformats.org/officeDocument/2006/relationships/ctrlProp" Target="../ctrlProps/ctrlProp67.xml" />
  <Relationship Id="rId9" Type="http://schemas.openxmlformats.org/officeDocument/2006/relationships/ctrlProp" Target="../ctrlProps/ctrlProp72.xml" />
  <Relationship Id="rId14" Type="http://schemas.openxmlformats.org/officeDocument/2006/relationships/ctrlProp" Target="../ctrlProps/ctrlProp77.xml" />
</Relationships>
</file>

<file path=xl/worksheets/_rels/sheet7.xml.rels>&#65279;<?xml version="1.0" encoding="utf-8" standalone="yes"?>
<Relationships xmlns="http://schemas.openxmlformats.org/package/2006/relationships">
  <Relationship Id="rId8" Type="http://schemas.openxmlformats.org/officeDocument/2006/relationships/ctrlProp" Target="../ctrlProps/ctrlProp88.xml" />
  <Relationship Id="rId13" Type="http://schemas.openxmlformats.org/officeDocument/2006/relationships/ctrlProp" Target="../ctrlProps/ctrlProp93.xml" />
  <Relationship Id="rId18" Type="http://schemas.openxmlformats.org/officeDocument/2006/relationships/ctrlProp" Target="../ctrlProps/ctrlProp98.xml" />
  <Relationship Id="rId3" Type="http://schemas.openxmlformats.org/officeDocument/2006/relationships/vmlDrawing" Target="../drawings/vmlDrawing6.vml" />
  <Relationship Id="rId21" Type="http://schemas.openxmlformats.org/officeDocument/2006/relationships/comments" Target="../comments5.xml" />
  <Relationship Id="rId7" Type="http://schemas.openxmlformats.org/officeDocument/2006/relationships/ctrlProp" Target="../ctrlProps/ctrlProp87.xml" />
  <Relationship Id="rId12" Type="http://schemas.openxmlformats.org/officeDocument/2006/relationships/ctrlProp" Target="../ctrlProps/ctrlProp92.xml" />
  <Relationship Id="rId17" Type="http://schemas.openxmlformats.org/officeDocument/2006/relationships/ctrlProp" Target="../ctrlProps/ctrlProp97.xml" />
  <Relationship Id="rId2" Type="http://schemas.openxmlformats.org/officeDocument/2006/relationships/drawing" Target="../drawings/drawing6.xml" />
  <Relationship Id="rId16" Type="http://schemas.openxmlformats.org/officeDocument/2006/relationships/ctrlProp" Target="../ctrlProps/ctrlProp96.xml" />
  <Relationship Id="rId20" Type="http://schemas.openxmlformats.org/officeDocument/2006/relationships/ctrlProp" Target="../ctrlProps/ctrlProp100.xml" />
  <Relationship Id="rId1" Type="http://schemas.openxmlformats.org/officeDocument/2006/relationships/printerSettings" Target="../printerSettings/printerSettings7.bin" />
  <Relationship Id="rId6" Type="http://schemas.openxmlformats.org/officeDocument/2006/relationships/ctrlProp" Target="../ctrlProps/ctrlProp86.xml" />
  <Relationship Id="rId11" Type="http://schemas.openxmlformats.org/officeDocument/2006/relationships/ctrlProp" Target="../ctrlProps/ctrlProp91.xml" />
  <Relationship Id="rId5" Type="http://schemas.openxmlformats.org/officeDocument/2006/relationships/ctrlProp" Target="../ctrlProps/ctrlProp85.xml" />
  <Relationship Id="rId15" Type="http://schemas.openxmlformats.org/officeDocument/2006/relationships/ctrlProp" Target="../ctrlProps/ctrlProp95.xml" />
  <Relationship Id="rId10" Type="http://schemas.openxmlformats.org/officeDocument/2006/relationships/ctrlProp" Target="../ctrlProps/ctrlProp90.xml" />
  <Relationship Id="rId19" Type="http://schemas.openxmlformats.org/officeDocument/2006/relationships/ctrlProp" Target="../ctrlProps/ctrlProp99.xml" />
  <Relationship Id="rId4" Type="http://schemas.openxmlformats.org/officeDocument/2006/relationships/ctrlProp" Target="../ctrlProps/ctrlProp84.xml" />
  <Relationship Id="rId9" Type="http://schemas.openxmlformats.org/officeDocument/2006/relationships/ctrlProp" Target="../ctrlProps/ctrlProp89.xml" />
  <Relationship Id="rId14" Type="http://schemas.openxmlformats.org/officeDocument/2006/relationships/ctrlProp" Target="../ctrlProps/ctrlProp94.xml" />
</Relationships>
</file>

<file path=xl/worksheets/_rels/sheet8.xml.rels>&#65279;<?xml version="1.0" encoding="utf-8" standalone="yes"?>
<Relationships xmlns="http://schemas.openxmlformats.org/package/2006/relationships">
  <Relationship Id="rId8" Type="http://schemas.openxmlformats.org/officeDocument/2006/relationships/ctrlProp" Target="../ctrlProps/ctrlProp105.xml" />
  <Relationship Id="rId13" Type="http://schemas.openxmlformats.org/officeDocument/2006/relationships/ctrlProp" Target="../ctrlProps/ctrlProp110.xml" />
  <Relationship Id="rId18" Type="http://schemas.openxmlformats.org/officeDocument/2006/relationships/ctrlProp" Target="../ctrlProps/ctrlProp115.xml" />
  <Relationship Id="rId3" Type="http://schemas.openxmlformats.org/officeDocument/2006/relationships/vmlDrawing" Target="../drawings/vmlDrawing7.vml" />
  <Relationship Id="rId21" Type="http://schemas.openxmlformats.org/officeDocument/2006/relationships/comments" Target="../comments6.xml" />
  <Relationship Id="rId7" Type="http://schemas.openxmlformats.org/officeDocument/2006/relationships/ctrlProp" Target="../ctrlProps/ctrlProp104.xml" />
  <Relationship Id="rId12" Type="http://schemas.openxmlformats.org/officeDocument/2006/relationships/ctrlProp" Target="../ctrlProps/ctrlProp109.xml" />
  <Relationship Id="rId17" Type="http://schemas.openxmlformats.org/officeDocument/2006/relationships/ctrlProp" Target="../ctrlProps/ctrlProp114.xml" />
  <Relationship Id="rId2" Type="http://schemas.openxmlformats.org/officeDocument/2006/relationships/drawing" Target="../drawings/drawing7.xml" />
  <Relationship Id="rId16" Type="http://schemas.openxmlformats.org/officeDocument/2006/relationships/ctrlProp" Target="../ctrlProps/ctrlProp113.xml" />
  <Relationship Id="rId20" Type="http://schemas.openxmlformats.org/officeDocument/2006/relationships/ctrlProp" Target="../ctrlProps/ctrlProp117.xml" />
  <Relationship Id="rId1" Type="http://schemas.openxmlformats.org/officeDocument/2006/relationships/printerSettings" Target="../printerSettings/printerSettings8.bin" />
  <Relationship Id="rId6" Type="http://schemas.openxmlformats.org/officeDocument/2006/relationships/ctrlProp" Target="../ctrlProps/ctrlProp103.xml" />
  <Relationship Id="rId11" Type="http://schemas.openxmlformats.org/officeDocument/2006/relationships/ctrlProp" Target="../ctrlProps/ctrlProp108.xml" />
  <Relationship Id="rId5" Type="http://schemas.openxmlformats.org/officeDocument/2006/relationships/ctrlProp" Target="../ctrlProps/ctrlProp102.xml" />
  <Relationship Id="rId15" Type="http://schemas.openxmlformats.org/officeDocument/2006/relationships/ctrlProp" Target="../ctrlProps/ctrlProp112.xml" />
  <Relationship Id="rId10" Type="http://schemas.openxmlformats.org/officeDocument/2006/relationships/ctrlProp" Target="../ctrlProps/ctrlProp107.xml" />
  <Relationship Id="rId19" Type="http://schemas.openxmlformats.org/officeDocument/2006/relationships/ctrlProp" Target="../ctrlProps/ctrlProp116.xml" />
  <Relationship Id="rId4" Type="http://schemas.openxmlformats.org/officeDocument/2006/relationships/ctrlProp" Target="../ctrlProps/ctrlProp101.xml" />
  <Relationship Id="rId9" Type="http://schemas.openxmlformats.org/officeDocument/2006/relationships/ctrlProp" Target="../ctrlProps/ctrlProp106.xml" />
  <Relationship Id="rId14" Type="http://schemas.openxmlformats.org/officeDocument/2006/relationships/ctrlProp" Target="../ctrlProps/ctrlProp111.xml" />
</Relationships>
</file>

<file path=xl/worksheets/_rels/sheet9.xml.rels>&#65279;<?xml version="1.0" encoding="utf-8" standalone="yes"?>
<Relationships xmlns="http://schemas.openxmlformats.org/package/2006/relationships">
  <Relationship Id="rId8" Type="http://schemas.openxmlformats.org/officeDocument/2006/relationships/ctrlProp" Target="../ctrlProps/ctrlProp122.xml" />
  <Relationship Id="rId13" Type="http://schemas.openxmlformats.org/officeDocument/2006/relationships/ctrlProp" Target="../ctrlProps/ctrlProp127.xml" />
  <Relationship Id="rId18" Type="http://schemas.openxmlformats.org/officeDocument/2006/relationships/ctrlProp" Target="../ctrlProps/ctrlProp132.xml" />
  <Relationship Id="rId3" Type="http://schemas.openxmlformats.org/officeDocument/2006/relationships/vmlDrawing" Target="../drawings/vmlDrawing8.vml" />
  <Relationship Id="rId21" Type="http://schemas.openxmlformats.org/officeDocument/2006/relationships/comments" Target="../comments7.xml" />
  <Relationship Id="rId7" Type="http://schemas.openxmlformats.org/officeDocument/2006/relationships/ctrlProp" Target="../ctrlProps/ctrlProp121.xml" />
  <Relationship Id="rId12" Type="http://schemas.openxmlformats.org/officeDocument/2006/relationships/ctrlProp" Target="../ctrlProps/ctrlProp126.xml" />
  <Relationship Id="rId17" Type="http://schemas.openxmlformats.org/officeDocument/2006/relationships/ctrlProp" Target="../ctrlProps/ctrlProp131.xml" />
  <Relationship Id="rId2" Type="http://schemas.openxmlformats.org/officeDocument/2006/relationships/drawing" Target="../drawings/drawing8.xml" />
  <Relationship Id="rId16" Type="http://schemas.openxmlformats.org/officeDocument/2006/relationships/ctrlProp" Target="../ctrlProps/ctrlProp130.xml" />
  <Relationship Id="rId20" Type="http://schemas.openxmlformats.org/officeDocument/2006/relationships/ctrlProp" Target="../ctrlProps/ctrlProp134.xml" />
  <Relationship Id="rId1" Type="http://schemas.openxmlformats.org/officeDocument/2006/relationships/printerSettings" Target="../printerSettings/printerSettings9.bin" />
  <Relationship Id="rId6" Type="http://schemas.openxmlformats.org/officeDocument/2006/relationships/ctrlProp" Target="../ctrlProps/ctrlProp120.xml" />
  <Relationship Id="rId11" Type="http://schemas.openxmlformats.org/officeDocument/2006/relationships/ctrlProp" Target="../ctrlProps/ctrlProp125.xml" />
  <Relationship Id="rId5" Type="http://schemas.openxmlformats.org/officeDocument/2006/relationships/ctrlProp" Target="../ctrlProps/ctrlProp119.xml" />
  <Relationship Id="rId15" Type="http://schemas.openxmlformats.org/officeDocument/2006/relationships/ctrlProp" Target="../ctrlProps/ctrlProp129.xml" />
  <Relationship Id="rId10" Type="http://schemas.openxmlformats.org/officeDocument/2006/relationships/ctrlProp" Target="../ctrlProps/ctrlProp124.xml" />
  <Relationship Id="rId19" Type="http://schemas.openxmlformats.org/officeDocument/2006/relationships/ctrlProp" Target="../ctrlProps/ctrlProp133.xml" />
  <Relationship Id="rId4" Type="http://schemas.openxmlformats.org/officeDocument/2006/relationships/ctrlProp" Target="../ctrlProps/ctrlProp118.xml" />
  <Relationship Id="rId9" Type="http://schemas.openxmlformats.org/officeDocument/2006/relationships/ctrlProp" Target="../ctrlProps/ctrlProp123.xml" />
  <Relationship Id="rId14" Type="http://schemas.openxmlformats.org/officeDocument/2006/relationships/ctrlProp" Target="../ctrlProps/ctrlProp128.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
  <sheetViews>
    <sheetView showGridLines="0" view="pageBreakPreview" zoomScaleNormal="100" zoomScaleSheetLayoutView="100" workbookViewId="0">
      <selection activeCell="C1" sqref="C1"/>
    </sheetView>
  </sheetViews>
  <sheetFormatPr defaultColWidth="9" defaultRowHeight="13.2" x14ac:dyDescent="0.2"/>
  <cols>
    <col min="1" max="1" width="4.77734375" style="85" customWidth="1"/>
    <col min="2" max="2" width="83.88671875" style="85" customWidth="1"/>
    <col min="3" max="3" width="9" style="85" customWidth="1"/>
    <col min="4" max="16384" width="9" style="85"/>
  </cols>
  <sheetData>
    <row r="1" spans="1:2" ht="25.5" customHeight="1" x14ac:dyDescent="0.2">
      <c r="A1" s="101" t="s">
        <v>197</v>
      </c>
      <c r="B1" s="101"/>
    </row>
    <row r="3" spans="1:2" ht="39.6" x14ac:dyDescent="0.2">
      <c r="A3" s="85" t="s">
        <v>198</v>
      </c>
      <c r="B3" s="86" t="s">
        <v>199</v>
      </c>
    </row>
    <row r="4" spans="1:2" ht="116.25" customHeight="1" x14ac:dyDescent="0.2">
      <c r="A4" s="87" t="s">
        <v>200</v>
      </c>
      <c r="B4" s="86" t="s">
        <v>229</v>
      </c>
    </row>
    <row r="5" spans="1:2" ht="118.8" x14ac:dyDescent="0.2">
      <c r="A5" s="87" t="s">
        <v>201</v>
      </c>
      <c r="B5" s="86" t="s">
        <v>202</v>
      </c>
    </row>
    <row r="6" spans="1:2" ht="52.8" x14ac:dyDescent="0.2">
      <c r="A6" s="88" t="s">
        <v>205</v>
      </c>
      <c r="B6" s="89" t="s">
        <v>230</v>
      </c>
    </row>
    <row r="8" spans="1:2" x14ac:dyDescent="0.2">
      <c r="A8" s="87" t="s">
        <v>231</v>
      </c>
      <c r="B8" s="85" t="s">
        <v>232</v>
      </c>
    </row>
  </sheetData>
  <sheetProtection algorithmName="SHA-512" hashValue="JyJGlNT6QGXK3ufrxanrLa5E7uL5NtNo/D5wt+0vm8ZrxqAeJrpUH2Qu+WZZYR9Pgn96RCd+AeBM0EoQHEDZDw==" saltValue="4th7msnWoXKUSGubTkXrdw==" spinCount="100000" sheet="1" objects="1" scenarios="1" selectLockedCells="1"/>
  <mergeCells count="1">
    <mergeCell ref="A1:B1"/>
  </mergeCells>
  <phoneticPr fontId="2"/>
  <pageMargins left="0.70866141732283472" right="0.70866141732283472" top="0.74803149606299213" bottom="0.74803149606299213" header="0.31496062992125984" footer="0.31496062992125984"/>
  <pageSetup paperSize="9" orientation="portrait" r:id="rId1"/>
  <headerFooter>
    <oddHeader>&amp;Rver. 1.8[H28]</oddHeader>
    <oddFooter>&amp;Cⓒ　2013 hyoukakyoukai.All right reserved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AO106"/>
  <sheetViews>
    <sheetView showGridLines="0" view="pageBreakPreview" topLeftCell="A25" zoomScaleNormal="100" zoomScaleSheetLayoutView="100" workbookViewId="0">
      <selection activeCell="B8" sqref="B8:C8"/>
    </sheetView>
  </sheetViews>
  <sheetFormatPr defaultColWidth="9" defaultRowHeight="13.2" x14ac:dyDescent="0.2"/>
  <cols>
    <col min="1" max="1" width="0.88671875" style="52" customWidth="1"/>
    <col min="2" max="10" width="3.88671875" style="52" customWidth="1"/>
    <col min="11" max="11" width="4.109375" style="52" customWidth="1"/>
    <col min="12" max="26" width="3.88671875" style="52" customWidth="1"/>
    <col min="27" max="27" width="5.44140625" style="52" customWidth="1"/>
    <col min="28"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115</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363">
        <f>IF(共通条件・結果!AA7="８地域","0.411",IF(共通条件・結果!AA7="７地域",0.406,IF(共通条件・結果!AA7="６地域",0.427,IF(共通条件・結果!AA7="５地域",0.442,IF(共通条件・結果!AA7="４地域",0.401,IF(共通条件・結果!AA7="３地域",0.447,IF(共通条件・結果!AA7="２地域",0.428,IF(共通条件・結果!AA7="１地域",0.411))))))))</f>
        <v>0.42799999999999999</v>
      </c>
      <c r="W4" s="364"/>
      <c r="X4" s="363">
        <f>IF(共通条件・結果!AA7="８地域","-",IF(共通条件・結果!AA7="７地域",0.284,IF(共通条件・結果!AA7="６地域",0.317,IF(共通条件・結果!AA7="５地域",0.297,IF(共通条件・結果!AA7="４地域",0.326,IF(共通条件・結果!AA7="３地域",0.351,IF(共通条件・結果!AA7="２地域",0.341,IF(共通条件・結果!AA7="１地域",0.325))))))))</f>
        <v>0.34100000000000003</v>
      </c>
      <c r="Y4" s="364"/>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c r="C8" s="263"/>
      <c r="D8" s="264"/>
      <c r="E8" s="265"/>
      <c r="F8" s="265"/>
      <c r="G8" s="266"/>
      <c r="H8" s="267"/>
      <c r="I8" s="267"/>
      <c r="J8" s="267"/>
      <c r="K8" s="267"/>
      <c r="L8" s="268"/>
      <c r="M8" s="268"/>
      <c r="N8" s="251"/>
      <c r="O8" s="252"/>
      <c r="P8" s="257"/>
      <c r="Q8" s="258"/>
      <c r="R8" s="259"/>
      <c r="S8" s="260"/>
      <c r="T8" s="261"/>
      <c r="U8" s="257"/>
      <c r="V8" s="256" t="str">
        <f>IF(D8="","",AD8)</f>
        <v/>
      </c>
      <c r="W8" s="256"/>
      <c r="X8" s="256" t="str">
        <f t="shared" ref="X8:X19" si="0">IF(D8="","",IF(ISERROR(AE8),"-",AE8))</f>
        <v/>
      </c>
      <c r="Y8" s="256"/>
      <c r="Z8" s="256" t="str">
        <f>IF(D8="","",D8*F8*AN8)</f>
        <v/>
      </c>
      <c r="AA8" s="262"/>
      <c r="AD8" s="37" t="e">
        <f>D8*F8*J8*$V$4*AH8</f>
        <v>#VALUE!</v>
      </c>
      <c r="AE8" s="37" t="e">
        <f>D8*F8*J8*$X$4*AI8</f>
        <v>#VALUE!</v>
      </c>
      <c r="AG8" s="40" t="b">
        <v>0</v>
      </c>
      <c r="AH8" s="37" t="str">
        <f>IF(AG8=TRUE,"0.93",IF(ISERROR(AK8),"エラー",IF(AK8&gt;0.93,"0.93",AK8)))</f>
        <v>エラー</v>
      </c>
      <c r="AI8" s="37" t="str">
        <f>IF(AG8=TRUE,"0.51",IF(ISERROR(AL8),"エラー",IF(AL8&gt;0.72,"0.72",AL8)))</f>
        <v>エラー</v>
      </c>
      <c r="AK8" s="37" t="e">
        <f>0.01*(16+24*(2*R8+T8)/P8)</f>
        <v>#DIV/0!</v>
      </c>
      <c r="AL8" s="37" t="e">
        <f>0.01*(10+15*(2*R8+T8)/P8)</f>
        <v>#DIV/0!</v>
      </c>
      <c r="AN8" s="37">
        <f>IF(共通条件・結果!$AA$7="８地域",H8,IF(AO8="FALSE",H8,IF(L8="風除室",1/((1/H8)+0.1),0.5*H8+0.5*(1/((1/H8)+AO8)))))</f>
        <v>0</v>
      </c>
      <c r="AO8" s="39" t="str">
        <f t="shared" ref="AO8:AO19" si="1">IF(L8="","FALSE",IF(L8="雨戸",0.1,IF(L8="ｼｬｯﾀｰ",0.1,IF(L8="障子",0.18,IF(L8="風除室",0.1)))))</f>
        <v>FALSE</v>
      </c>
    </row>
    <row r="9" spans="2:41" s="37" customFormat="1" ht="21.9" customHeight="1" x14ac:dyDescent="0.2">
      <c r="B9" s="185"/>
      <c r="C9" s="186"/>
      <c r="D9" s="187"/>
      <c r="E9" s="188"/>
      <c r="F9" s="188"/>
      <c r="G9" s="189"/>
      <c r="H9" s="190"/>
      <c r="I9" s="190"/>
      <c r="J9" s="190"/>
      <c r="K9" s="190"/>
      <c r="L9" s="203" t="s">
        <v>65</v>
      </c>
      <c r="M9" s="203"/>
      <c r="N9" s="213"/>
      <c r="O9" s="215"/>
      <c r="P9" s="269"/>
      <c r="Q9" s="206"/>
      <c r="R9" s="270"/>
      <c r="S9" s="271"/>
      <c r="T9" s="179"/>
      <c r="U9" s="269"/>
      <c r="V9" s="175" t="str">
        <f t="shared" ref="V9:V19" si="2">IF(D9="","",AD9)</f>
        <v/>
      </c>
      <c r="W9" s="175"/>
      <c r="X9" s="175" t="str">
        <f t="shared" si="0"/>
        <v/>
      </c>
      <c r="Y9" s="175"/>
      <c r="Z9" s="175" t="str">
        <f t="shared" ref="Z9:Z19" si="3">IF(D9="","",D9*F9*AN9)</f>
        <v/>
      </c>
      <c r="AA9" s="176"/>
      <c r="AD9" s="37" t="e">
        <f t="shared" ref="AD9:AD19" si="4">D9*F9*J9*$V$4*AH9</f>
        <v>#VALUE!</v>
      </c>
      <c r="AE9" s="37" t="e">
        <f t="shared" ref="AE9:AE19" si="5">D9*F9*J9*$X$4*AI9</f>
        <v>#VALUE!</v>
      </c>
      <c r="AG9" s="40" t="b">
        <v>0</v>
      </c>
      <c r="AH9" s="37" t="str">
        <f t="shared" ref="AH9:AH19" si="6">IF(AG9=TRUE,"0.93",IF(ISERROR(AK9),"エラー",IF(AK9&gt;0.93,"0.93",AK9)))</f>
        <v>エラー</v>
      </c>
      <c r="AI9" s="37" t="str">
        <f t="shared" ref="AI9:AI19" si="7">IF(AG9=TRUE,"0.51",IF(ISERROR(AL9),"エラー",IF(AL9&gt;0.72,"0.72",AL9)))</f>
        <v>エラー</v>
      </c>
      <c r="AK9" s="37" t="e">
        <f t="shared" ref="AK9:AK19" si="8">0.01*(16+24*(2*R9+T9)/P9)</f>
        <v>#DIV/0!</v>
      </c>
      <c r="AL9" s="37" t="e">
        <f t="shared" ref="AL9:AL19" si="9">0.01*(10+15*(2*R9+T9)/P9)</f>
        <v>#DIV/0!</v>
      </c>
      <c r="AN9" s="37" t="e">
        <f>IF(共通条件・結果!$AA$7="８地域",H9,IF(AO9="FALSE",H9,IF(L9="風除室",1/((1/H9)+0.1),0.5*H9+0.5*(1/((1/H9)+AO9)))))</f>
        <v>#DIV/0!</v>
      </c>
      <c r="AO9" s="39" t="b">
        <f t="shared" si="1"/>
        <v>0</v>
      </c>
    </row>
    <row r="10" spans="2:41" s="37" customFormat="1" ht="21.9" customHeight="1" x14ac:dyDescent="0.2">
      <c r="B10" s="185"/>
      <c r="C10" s="186"/>
      <c r="D10" s="187"/>
      <c r="E10" s="188"/>
      <c r="F10" s="188"/>
      <c r="G10" s="189"/>
      <c r="H10" s="190"/>
      <c r="I10" s="190"/>
      <c r="J10" s="190"/>
      <c r="K10" s="190"/>
      <c r="L10" s="203" t="s">
        <v>65</v>
      </c>
      <c r="M10" s="203"/>
      <c r="N10" s="213"/>
      <c r="O10" s="215"/>
      <c r="P10" s="206"/>
      <c r="Q10" s="178"/>
      <c r="R10" s="177"/>
      <c r="S10" s="178"/>
      <c r="T10" s="177"/>
      <c r="U10" s="179"/>
      <c r="V10" s="175" t="str">
        <f t="shared" si="2"/>
        <v/>
      </c>
      <c r="W10" s="175"/>
      <c r="X10" s="175" t="str">
        <f t="shared" si="0"/>
        <v/>
      </c>
      <c r="Y10" s="175"/>
      <c r="Z10" s="175" t="str">
        <f t="shared" si="3"/>
        <v/>
      </c>
      <c r="AA10" s="176"/>
      <c r="AD10" s="37" t="e">
        <f t="shared" si="4"/>
        <v>#VALUE!</v>
      </c>
      <c r="AE10" s="37" t="e">
        <f t="shared" si="5"/>
        <v>#VALUE!</v>
      </c>
      <c r="AG10" s="40" t="b">
        <v>0</v>
      </c>
      <c r="AH10" s="37" t="str">
        <f t="shared" si="6"/>
        <v>エラー</v>
      </c>
      <c r="AI10" s="37" t="str">
        <f t="shared" si="7"/>
        <v>エラー</v>
      </c>
      <c r="AK10" s="37" t="e">
        <f t="shared" si="8"/>
        <v>#DIV/0!</v>
      </c>
      <c r="AL10" s="37" t="e">
        <f t="shared" si="9"/>
        <v>#DIV/0!</v>
      </c>
      <c r="AN10" s="37" t="e">
        <f>IF(共通条件・結果!$AA$7="８地域",H10,IF(AO10="FALSE",H10,IF(L10="風除室",1/((1/H10)+0.1),0.5*H10+0.5*(1/((1/H10)+AO10)))))</f>
        <v>#DIV/0!</v>
      </c>
      <c r="AO10" s="39" t="b">
        <f t="shared" si="1"/>
        <v>0</v>
      </c>
    </row>
    <row r="11" spans="2:41" s="37" customFormat="1" ht="21.9" customHeight="1" x14ac:dyDescent="0.2">
      <c r="B11" s="185"/>
      <c r="C11" s="186"/>
      <c r="D11" s="187"/>
      <c r="E11" s="188"/>
      <c r="F11" s="188"/>
      <c r="G11" s="189"/>
      <c r="H11" s="190"/>
      <c r="I11" s="190"/>
      <c r="J11" s="190"/>
      <c r="K11" s="190"/>
      <c r="L11" s="203" t="s">
        <v>65</v>
      </c>
      <c r="M11" s="203"/>
      <c r="N11" s="213"/>
      <c r="O11" s="215"/>
      <c r="P11" s="206"/>
      <c r="Q11" s="178"/>
      <c r="R11" s="177"/>
      <c r="S11" s="178"/>
      <c r="T11" s="177"/>
      <c r="U11" s="179"/>
      <c r="V11" s="175" t="str">
        <f t="shared" si="2"/>
        <v/>
      </c>
      <c r="W11" s="175"/>
      <c r="X11" s="175" t="str">
        <f t="shared" si="0"/>
        <v/>
      </c>
      <c r="Y11" s="175"/>
      <c r="Z11" s="175" t="str">
        <f t="shared" si="3"/>
        <v/>
      </c>
      <c r="AA11" s="176"/>
      <c r="AD11" s="37" t="e">
        <f t="shared" si="4"/>
        <v>#VALUE!</v>
      </c>
      <c r="AE11" s="37" t="e">
        <f t="shared" si="5"/>
        <v>#VALUE!</v>
      </c>
      <c r="AG11" s="40" t="b">
        <v>0</v>
      </c>
      <c r="AH11" s="37" t="str">
        <f t="shared" si="6"/>
        <v>エラー</v>
      </c>
      <c r="AI11" s="37" t="str">
        <f t="shared" si="7"/>
        <v>エラー</v>
      </c>
      <c r="AK11" s="37" t="e">
        <f t="shared" si="8"/>
        <v>#DIV/0!</v>
      </c>
      <c r="AL11" s="37" t="e">
        <f t="shared" si="9"/>
        <v>#DIV/0!</v>
      </c>
      <c r="AN11" s="37" t="e">
        <f>IF(共通条件・結果!$AA$7="８地域",H11,IF(AO11="FALSE",H11,IF(L11="風除室",1/((1/H11)+0.1),0.5*H11+0.5*(1/((1/H11)+AO11)))))</f>
        <v>#DIV/0!</v>
      </c>
      <c r="AO11" s="39" t="b">
        <f t="shared" si="1"/>
        <v>0</v>
      </c>
    </row>
    <row r="12" spans="2:41" s="37" customFormat="1" ht="21.9" customHeight="1" x14ac:dyDescent="0.2">
      <c r="B12" s="185"/>
      <c r="C12" s="205"/>
      <c r="D12" s="207"/>
      <c r="E12" s="208"/>
      <c r="F12" s="209"/>
      <c r="G12" s="210"/>
      <c r="H12" s="207"/>
      <c r="I12" s="210"/>
      <c r="J12" s="207"/>
      <c r="K12" s="210"/>
      <c r="L12" s="211"/>
      <c r="M12" s="212"/>
      <c r="N12" s="213"/>
      <c r="O12" s="214"/>
      <c r="P12" s="206"/>
      <c r="Q12" s="178"/>
      <c r="R12" s="177"/>
      <c r="S12" s="178"/>
      <c r="T12" s="177"/>
      <c r="U12" s="179"/>
      <c r="V12" s="180" t="str">
        <f t="shared" ref="V12:V13" si="10">IF(D12="","",AD12)</f>
        <v/>
      </c>
      <c r="W12" s="181"/>
      <c r="X12" s="180" t="str">
        <f t="shared" ref="X12:X13" si="11">IF(D12="","",IF(ISERROR(AE12),"-",AE12))</f>
        <v/>
      </c>
      <c r="Y12" s="181"/>
      <c r="Z12" s="180" t="str">
        <f t="shared" ref="Z12:Z13" si="12">IF(D12="","",D12*F12*AN12)</f>
        <v/>
      </c>
      <c r="AA12" s="182"/>
      <c r="AD12" s="37" t="e">
        <f t="shared" ref="AD12:AD13" si="13">D12*F12*J12*$V$4*AH12</f>
        <v>#VALUE!</v>
      </c>
      <c r="AE12" s="37" t="e">
        <f t="shared" ref="AE12:AE13" si="14">D12*F12*J12*$X$4*AI12</f>
        <v>#VALUE!</v>
      </c>
      <c r="AG12" s="40" t="b">
        <v>0</v>
      </c>
      <c r="AH12" s="37" t="str">
        <f t="shared" ref="AH12:AH13" si="15">IF(AG12=TRUE,"0.93",IF(ISERROR(AK12),"エラー",IF(AK12&gt;0.93,"0.93",AK12)))</f>
        <v>エラー</v>
      </c>
      <c r="AI12" s="37" t="str">
        <f t="shared" ref="AI12:AI13" si="16">IF(AG12=TRUE,"0.51",IF(ISERROR(AL12),"エラー",IF(AL12&gt;0.72,"0.72",AL12)))</f>
        <v>エラー</v>
      </c>
      <c r="AK12" s="37" t="e">
        <f t="shared" ref="AK12:AK13" si="17">0.01*(16+24*(2*R12+T12)/P12)</f>
        <v>#DIV/0!</v>
      </c>
      <c r="AL12" s="37" t="e">
        <f t="shared" ref="AL12:AL13" si="18">0.01*(10+15*(2*R12+T12)/P12)</f>
        <v>#DIV/0!</v>
      </c>
      <c r="AN12" s="37">
        <f>IF(共通条件・結果!$AA$7="８地域",H12,IF(AO12="FALSE",H12,IF(L12="風除室",1/((1/H12)+0.1),0.5*H12+0.5*(1/((1/H12)+AO12)))))</f>
        <v>0</v>
      </c>
      <c r="AO12" s="95" t="str">
        <f t="shared" ref="AO12:AO13" si="19">IF(L12="","FALSE",IF(L12="雨戸",0.1,IF(L12="ｼｬｯﾀｰ",0.1,IF(L12="障子",0.18,IF(L12="風除室",0.1)))))</f>
        <v>FALSE</v>
      </c>
    </row>
    <row r="13" spans="2:41" s="37" customFormat="1" ht="21.9" customHeight="1" x14ac:dyDescent="0.2">
      <c r="B13" s="185"/>
      <c r="C13" s="205"/>
      <c r="D13" s="207"/>
      <c r="E13" s="208"/>
      <c r="F13" s="209"/>
      <c r="G13" s="210"/>
      <c r="H13" s="207"/>
      <c r="I13" s="210"/>
      <c r="J13" s="207"/>
      <c r="K13" s="210"/>
      <c r="L13" s="211"/>
      <c r="M13" s="212"/>
      <c r="N13" s="213"/>
      <c r="O13" s="214"/>
      <c r="P13" s="206"/>
      <c r="Q13" s="178"/>
      <c r="R13" s="177"/>
      <c r="S13" s="178"/>
      <c r="T13" s="177"/>
      <c r="U13" s="179"/>
      <c r="V13" s="180" t="str">
        <f t="shared" si="10"/>
        <v/>
      </c>
      <c r="W13" s="181"/>
      <c r="X13" s="180" t="str">
        <f t="shared" si="11"/>
        <v/>
      </c>
      <c r="Y13" s="181"/>
      <c r="Z13" s="180" t="str">
        <f t="shared" si="12"/>
        <v/>
      </c>
      <c r="AA13" s="182"/>
      <c r="AD13" s="37" t="e">
        <f t="shared" si="13"/>
        <v>#VALUE!</v>
      </c>
      <c r="AE13" s="37" t="e">
        <f t="shared" si="14"/>
        <v>#VALUE!</v>
      </c>
      <c r="AG13" s="40" t="b">
        <v>0</v>
      </c>
      <c r="AH13" s="37" t="str">
        <f t="shared" si="15"/>
        <v>エラー</v>
      </c>
      <c r="AI13" s="37" t="str">
        <f t="shared" si="16"/>
        <v>エラー</v>
      </c>
      <c r="AK13" s="37" t="e">
        <f t="shared" si="17"/>
        <v>#DIV/0!</v>
      </c>
      <c r="AL13" s="37" t="e">
        <f t="shared" si="18"/>
        <v>#DIV/0!</v>
      </c>
      <c r="AN13" s="37">
        <f>IF(共通条件・結果!$AA$7="８地域",H13,IF(AO13="FALSE",H13,IF(L13="風除室",1/((1/H13)+0.1),0.5*H13+0.5*(1/((1/H13)+AO13)))))</f>
        <v>0</v>
      </c>
      <c r="AO13" s="95" t="str">
        <f t="shared" si="19"/>
        <v>FALSE</v>
      </c>
    </row>
    <row r="14" spans="2:41" s="37" customFormat="1" ht="21.9" customHeight="1" x14ac:dyDescent="0.2">
      <c r="B14" s="185"/>
      <c r="C14" s="186"/>
      <c r="D14" s="187"/>
      <c r="E14" s="188"/>
      <c r="F14" s="188"/>
      <c r="G14" s="189"/>
      <c r="H14" s="190"/>
      <c r="I14" s="190"/>
      <c r="J14" s="190"/>
      <c r="K14" s="190"/>
      <c r="L14" s="203" t="s">
        <v>65</v>
      </c>
      <c r="M14" s="203"/>
      <c r="N14" s="213"/>
      <c r="O14" s="215"/>
      <c r="P14" s="206"/>
      <c r="Q14" s="178"/>
      <c r="R14" s="177"/>
      <c r="S14" s="178"/>
      <c r="T14" s="177"/>
      <c r="U14" s="179"/>
      <c r="V14" s="175" t="str">
        <f t="shared" si="2"/>
        <v/>
      </c>
      <c r="W14" s="175"/>
      <c r="X14" s="175" t="str">
        <f t="shared" si="0"/>
        <v/>
      </c>
      <c r="Y14" s="175"/>
      <c r="Z14" s="175" t="str">
        <f t="shared" si="3"/>
        <v/>
      </c>
      <c r="AA14" s="176"/>
      <c r="AD14" s="37" t="e">
        <f t="shared" si="4"/>
        <v>#VALUE!</v>
      </c>
      <c r="AE14" s="37" t="e">
        <f t="shared" si="5"/>
        <v>#VALUE!</v>
      </c>
      <c r="AG14" s="40" t="b">
        <v>0</v>
      </c>
      <c r="AH14" s="37" t="str">
        <f t="shared" si="6"/>
        <v>エラー</v>
      </c>
      <c r="AI14" s="37" t="str">
        <f t="shared" si="7"/>
        <v>エラー</v>
      </c>
      <c r="AK14" s="37" t="e">
        <f t="shared" si="8"/>
        <v>#DIV/0!</v>
      </c>
      <c r="AL14" s="37" t="e">
        <f t="shared" si="9"/>
        <v>#DIV/0!</v>
      </c>
      <c r="AN14" s="37" t="e">
        <f>IF(共通条件・結果!$AA$7="８地域",H14,IF(AO14="FALSE",H14,IF(L14="風除室",1/((1/H14)+0.1),0.5*H14+0.5*(1/((1/H14)+AO14)))))</f>
        <v>#DIV/0!</v>
      </c>
      <c r="AO14" s="39" t="b">
        <f t="shared" si="1"/>
        <v>0</v>
      </c>
    </row>
    <row r="15" spans="2:41" s="37" customFormat="1" ht="21.9" customHeight="1" x14ac:dyDescent="0.2">
      <c r="B15" s="185"/>
      <c r="C15" s="186"/>
      <c r="D15" s="187"/>
      <c r="E15" s="188"/>
      <c r="F15" s="188"/>
      <c r="G15" s="189"/>
      <c r="H15" s="190"/>
      <c r="I15" s="190"/>
      <c r="J15" s="190"/>
      <c r="K15" s="190"/>
      <c r="L15" s="203" t="s">
        <v>65</v>
      </c>
      <c r="M15" s="203"/>
      <c r="N15" s="213"/>
      <c r="O15" s="215"/>
      <c r="P15" s="206"/>
      <c r="Q15" s="178"/>
      <c r="R15" s="177"/>
      <c r="S15" s="178"/>
      <c r="T15" s="177"/>
      <c r="U15" s="179"/>
      <c r="V15" s="180" t="str">
        <f t="shared" si="2"/>
        <v/>
      </c>
      <c r="W15" s="181"/>
      <c r="X15" s="175" t="str">
        <f t="shared" si="0"/>
        <v/>
      </c>
      <c r="Y15" s="175"/>
      <c r="Z15" s="175" t="str">
        <f t="shared" si="3"/>
        <v/>
      </c>
      <c r="AA15" s="176"/>
      <c r="AD15" s="37" t="e">
        <f t="shared" si="4"/>
        <v>#VALUE!</v>
      </c>
      <c r="AE15" s="37" t="e">
        <f t="shared" si="5"/>
        <v>#VALUE!</v>
      </c>
      <c r="AG15" s="40" t="b">
        <v>0</v>
      </c>
      <c r="AH15" s="37" t="str">
        <f t="shared" si="6"/>
        <v>エラー</v>
      </c>
      <c r="AI15" s="37" t="str">
        <f t="shared" si="7"/>
        <v>エラー</v>
      </c>
      <c r="AK15" s="37" t="e">
        <f t="shared" si="8"/>
        <v>#DIV/0!</v>
      </c>
      <c r="AL15" s="37" t="e">
        <f t="shared" si="9"/>
        <v>#DIV/0!</v>
      </c>
      <c r="AN15" s="37" t="e">
        <f>IF(共通条件・結果!$AA$7="８地域",H15,IF(AO15="FALSE",H15,IF(L15="風除室",1/((1/H15)+0.1),0.5*H15+0.5*(1/((1/H15)+AO15)))))</f>
        <v>#DIV/0!</v>
      </c>
      <c r="AO15" s="39" t="b">
        <f t="shared" si="1"/>
        <v>0</v>
      </c>
    </row>
    <row r="16" spans="2:41" s="37" customFormat="1" ht="21.9" customHeight="1" x14ac:dyDescent="0.2">
      <c r="B16" s="185"/>
      <c r="C16" s="186"/>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 t="shared" si="8"/>
        <v>#DIV/0!</v>
      </c>
      <c r="AL16" s="37" t="e">
        <f t="shared" si="9"/>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 t="shared" si="8"/>
        <v>#DIV/0!</v>
      </c>
      <c r="AL17" s="37" t="e">
        <f t="shared" si="9"/>
        <v>#DIV/0!</v>
      </c>
      <c r="AN17" s="37" t="e">
        <f>IF(共通条件・結果!$AA$7="８地域",H17,IF(AO17="FALSE",H17,IF(L17="風除室",1/((1/H17)+0.1),0.5*H17+0.5*(1/((1/H17)+AO17)))))</f>
        <v>#DIV/0!</v>
      </c>
      <c r="AO17" s="39" t="b">
        <f t="shared" si="1"/>
        <v>0</v>
      </c>
    </row>
    <row r="18" spans="2:41" s="37" customFormat="1" ht="21.9" customHeight="1" x14ac:dyDescent="0.2">
      <c r="B18" s="185"/>
      <c r="C18" s="186"/>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 t="shared" si="8"/>
        <v>#DIV/0!</v>
      </c>
      <c r="AL18" s="37" t="e">
        <f t="shared" si="9"/>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 t="shared" si="8"/>
        <v>#DIV/0!</v>
      </c>
      <c r="AL19" s="37" t="e">
        <f t="shared" si="9"/>
        <v>#DIV/0!</v>
      </c>
      <c r="AN19" s="37" t="e">
        <f>IF(共通条件・結果!$AA$7="８地域",H19,IF(AO19="FALSE",H19,IF(L19="風除室",1/((1/H19)+0.1),0.5*H19+0.5*(1/((1/H19)+AO19)))))</f>
        <v>#DIV/0!</v>
      </c>
      <c r="AO19" s="39" t="b">
        <f t="shared" si="1"/>
        <v>0</v>
      </c>
    </row>
    <row r="20" spans="2:41" s="37" customFormat="1" ht="21.9" customHeight="1" thickBot="1" x14ac:dyDescent="0.25">
      <c r="B20" s="285" t="s">
        <v>135</v>
      </c>
      <c r="C20" s="286"/>
      <c r="D20" s="286"/>
      <c r="E20" s="286"/>
      <c r="F20" s="286"/>
      <c r="G20" s="286"/>
      <c r="H20" s="286"/>
      <c r="I20" s="286"/>
      <c r="J20" s="286"/>
      <c r="K20" s="286"/>
      <c r="L20" s="286"/>
      <c r="M20" s="286"/>
      <c r="N20" s="286"/>
      <c r="O20" s="286"/>
      <c r="P20" s="286"/>
      <c r="Q20" s="286"/>
      <c r="R20" s="286"/>
      <c r="S20" s="286"/>
      <c r="T20" s="286"/>
      <c r="U20" s="286"/>
      <c r="V20" s="287">
        <f>SUM(V8:W19)</f>
        <v>0</v>
      </c>
      <c r="W20" s="287"/>
      <c r="X20" s="287">
        <f>SUM(X8:Y19)</f>
        <v>0</v>
      </c>
      <c r="Y20" s="287"/>
      <c r="Z20" s="287">
        <f>SUM(Z8:AA19)</f>
        <v>0</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149</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D31" s="40"/>
      <c r="AE31" s="40"/>
      <c r="AF31" s="40"/>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c r="K33" s="184"/>
      <c r="L33" s="316"/>
      <c r="M33" s="317"/>
      <c r="N33" s="316"/>
      <c r="O33" s="317"/>
      <c r="P33" s="318" t="str">
        <f>IF(L33="","",L33-N33)</f>
        <v/>
      </c>
      <c r="Q33" s="319"/>
      <c r="R33" s="267"/>
      <c r="S33" s="267"/>
      <c r="T33" s="320"/>
      <c r="U33" s="320"/>
      <c r="V33" s="321" t="str">
        <f>IF(P33="","",IF(AD33=TRUE,0,P33*R33*0.034*$V$4))</f>
        <v/>
      </c>
      <c r="W33" s="321"/>
      <c r="X33" s="322" t="str">
        <f>IF(P33="","",IF(ISERROR(P33*R33*0.034*$X$4),"-",IF(AD33=TRUE,0,P33*R33*0.034*$X$4)))</f>
        <v/>
      </c>
      <c r="Y33" s="323"/>
      <c r="Z33" s="321" t="str">
        <f>IF(R33="","",IF(AD33=TRUE,0.7*R33*P33,R33*P33))</f>
        <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c r="K34" s="205"/>
      <c r="L34" s="207"/>
      <c r="M34" s="210"/>
      <c r="N34" s="207"/>
      <c r="O34" s="210"/>
      <c r="P34" s="313" t="str">
        <f t="shared" ref="P34:P35" si="20">IF(L34="","",L34-N34)</f>
        <v/>
      </c>
      <c r="Q34" s="314"/>
      <c r="R34" s="207"/>
      <c r="S34" s="210"/>
      <c r="T34" s="352"/>
      <c r="U34" s="353"/>
      <c r="V34" s="180" t="str">
        <f t="shared" ref="V34:V35" si="21">IF(P34="","",IF(AD34=TRUE,0,P34*R34*0.034*$V$4))</f>
        <v/>
      </c>
      <c r="W34" s="181"/>
      <c r="X34" s="180" t="str">
        <f t="shared" ref="X34:X35" si="22">IF(P34="","",IF(ISERROR(P34*R34*0.034*$X$4),"-",IF(AD34=TRUE,0,P34*R34*0.034*$X$4)))</f>
        <v/>
      </c>
      <c r="Y34" s="181"/>
      <c r="Z34" s="180" t="str">
        <f t="shared" ref="Z34:Z35" si="23">IF(R34="","",IF(AD34=TRUE,0.7*R34*P34,R34*P34))</f>
        <v/>
      </c>
      <c r="AA34" s="182"/>
      <c r="AD34" s="40" t="b">
        <v>0</v>
      </c>
      <c r="AE34" s="40">
        <f t="shared" ref="AE34:AE35" si="24">IF(AD34=TRUE,0.7,1)</f>
        <v>1</v>
      </c>
      <c r="AF34" s="40" t="str">
        <f t="shared" ref="AF34:AF35" si="25">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20"/>
        <v/>
      </c>
      <c r="Q35" s="314"/>
      <c r="R35" s="207"/>
      <c r="S35" s="210"/>
      <c r="T35" s="352"/>
      <c r="U35" s="353"/>
      <c r="V35" s="180" t="str">
        <f t="shared" si="21"/>
        <v/>
      </c>
      <c r="W35" s="181"/>
      <c r="X35" s="180" t="str">
        <f t="shared" si="22"/>
        <v/>
      </c>
      <c r="Y35" s="181"/>
      <c r="Z35" s="180" t="str">
        <f t="shared" si="23"/>
        <v/>
      </c>
      <c r="AA35" s="182"/>
      <c r="AD35" s="40" t="b">
        <v>0</v>
      </c>
      <c r="AE35" s="40">
        <f t="shared" si="24"/>
        <v>1</v>
      </c>
      <c r="AF35" s="40" t="str">
        <f t="shared" si="25"/>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136</v>
      </c>
      <c r="K38" s="286"/>
      <c r="L38" s="286"/>
      <c r="M38" s="286"/>
      <c r="N38" s="286"/>
      <c r="O38" s="286"/>
      <c r="P38" s="286"/>
      <c r="Q38" s="286"/>
      <c r="R38" s="286"/>
      <c r="S38" s="286"/>
      <c r="T38" s="286"/>
      <c r="U38" s="312"/>
      <c r="V38" s="287">
        <f>SUM(V33:W37)</f>
        <v>0</v>
      </c>
      <c r="W38" s="287"/>
      <c r="X38" s="287">
        <f>SUM(X33:Y37)</f>
        <v>0</v>
      </c>
      <c r="Y38" s="287"/>
      <c r="Z38" s="287">
        <f>SUM(Z33:AA37)</f>
        <v>0</v>
      </c>
      <c r="AA38" s="288"/>
    </row>
    <row r="39" spans="2:32" s="37" customFormat="1" ht="9.9" customHeight="1" x14ac:dyDescent="0.2"/>
    <row r="40" spans="2:32" s="37" customFormat="1" ht="21.9" customHeight="1" thickBot="1" x14ac:dyDescent="0.25">
      <c r="B40" s="38" t="s">
        <v>137</v>
      </c>
    </row>
    <row r="41" spans="2:32" s="37" customFormat="1" ht="21.9" customHeight="1" x14ac:dyDescent="0.2">
      <c r="B41" s="291" t="s">
        <v>108</v>
      </c>
      <c r="C41" s="292"/>
      <c r="D41" s="305" t="s">
        <v>56</v>
      </c>
      <c r="E41" s="306"/>
      <c r="F41" s="306"/>
      <c r="G41" s="306"/>
      <c r="H41" s="306"/>
      <c r="I41" s="306"/>
      <c r="J41" s="307"/>
      <c r="K41" s="42"/>
      <c r="L41" s="301">
        <f>Q41+U41+Y41</f>
        <v>0</v>
      </c>
      <c r="M41" s="301"/>
      <c r="N41" s="301"/>
      <c r="O41" s="42" t="s">
        <v>24</v>
      </c>
      <c r="P41" s="43" t="s">
        <v>23</v>
      </c>
      <c r="Q41" s="302">
        <f>D8*F8+D9*F9+D10*F10+D11*F11+D12*F12+D13*F13+D14*F14+D15*F15+D16*F16+D17*F17+D18*F18+D19*F19</f>
        <v>0</v>
      </c>
      <c r="R41" s="302"/>
      <c r="S41" s="44" t="s">
        <v>25</v>
      </c>
      <c r="T41" s="44" t="s">
        <v>22</v>
      </c>
      <c r="U41" s="303">
        <f>N25*P25+N26*P26+N27*P27</f>
        <v>0</v>
      </c>
      <c r="V41" s="303"/>
      <c r="W41" s="44" t="s">
        <v>25</v>
      </c>
      <c r="X41" s="44" t="s">
        <v>1</v>
      </c>
      <c r="Y41" s="304">
        <f>SUM(P33:Q37)</f>
        <v>0</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0</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aPwsunfgSyv0x+JA2uE9nzPYvmUSF/a+Du97/sf4xDEBI0zowfAzSZ7UcqRMZUtkT57sFnBu1FrnJx4PDbkfjw==" saltValue="TDZh2QL4Jiyjlt5iPHAd/g==" spinCount="100000" sheet="1" objects="1" scenarios="1" selectLockedCells="1"/>
  <mergeCells count="293">
    <mergeCell ref="Z12:AA12"/>
    <mergeCell ref="Z13:AA13"/>
    <mergeCell ref="Z26:AA26"/>
    <mergeCell ref="X26:Y26"/>
    <mergeCell ref="V26:W26"/>
    <mergeCell ref="Z18:AA18"/>
    <mergeCell ref="X18:Y18"/>
    <mergeCell ref="V16:W16"/>
    <mergeCell ref="X16:Y16"/>
    <mergeCell ref="Z16:AA16"/>
    <mergeCell ref="X19:Y19"/>
    <mergeCell ref="Z19:AA19"/>
    <mergeCell ref="V25:W25"/>
    <mergeCell ref="X25:Y25"/>
    <mergeCell ref="Z25:AA25"/>
    <mergeCell ref="V17:W17"/>
    <mergeCell ref="X17:Y17"/>
    <mergeCell ref="Z17:AA17"/>
    <mergeCell ref="X12:Y12"/>
    <mergeCell ref="X13:Y13"/>
    <mergeCell ref="Z14:AA14"/>
    <mergeCell ref="N12:O12"/>
    <mergeCell ref="N13:O13"/>
    <mergeCell ref="T34:U34"/>
    <mergeCell ref="T35:U35"/>
    <mergeCell ref="L12:M12"/>
    <mergeCell ref="L13:M13"/>
    <mergeCell ref="T26:U26"/>
    <mergeCell ref="R26:S26"/>
    <mergeCell ref="P26:Q26"/>
    <mergeCell ref="N26:O26"/>
    <mergeCell ref="J26:M26"/>
    <mergeCell ref="J34:K34"/>
    <mergeCell ref="J35:K35"/>
    <mergeCell ref="L34:M34"/>
    <mergeCell ref="J27:M27"/>
    <mergeCell ref="N25:O25"/>
    <mergeCell ref="T17:U17"/>
    <mergeCell ref="N17:O17"/>
    <mergeCell ref="P17:Q17"/>
    <mergeCell ref="T13:U13"/>
    <mergeCell ref="P25:Q25"/>
    <mergeCell ref="R25:S25"/>
    <mergeCell ref="T25:U25"/>
    <mergeCell ref="J23:M24"/>
    <mergeCell ref="J25:M25"/>
    <mergeCell ref="L36:M36"/>
    <mergeCell ref="N36:O36"/>
    <mergeCell ref="P36:Q36"/>
    <mergeCell ref="J36:K36"/>
    <mergeCell ref="J33:K33"/>
    <mergeCell ref="J31:K32"/>
    <mergeCell ref="J28:U28"/>
    <mergeCell ref="N27:O27"/>
    <mergeCell ref="P27:Q27"/>
    <mergeCell ref="R27:S27"/>
    <mergeCell ref="T27:U27"/>
    <mergeCell ref="L33:M33"/>
    <mergeCell ref="N33:O33"/>
    <mergeCell ref="P33:Q33"/>
    <mergeCell ref="R33:S33"/>
    <mergeCell ref="T33:U33"/>
    <mergeCell ref="L35:M35"/>
    <mergeCell ref="N34:O34"/>
    <mergeCell ref="N35:O35"/>
    <mergeCell ref="P34:Q34"/>
    <mergeCell ref="P35:Q35"/>
    <mergeCell ref="B2:AA2"/>
    <mergeCell ref="R4:U4"/>
    <mergeCell ref="V4:W4"/>
    <mergeCell ref="X4:Y4"/>
    <mergeCell ref="B5:C7"/>
    <mergeCell ref="D5:G5"/>
    <mergeCell ref="H5:I7"/>
    <mergeCell ref="J5:K7"/>
    <mergeCell ref="L5:M7"/>
    <mergeCell ref="N5:U5"/>
    <mergeCell ref="D6:E7"/>
    <mergeCell ref="F6:G7"/>
    <mergeCell ref="N6:O7"/>
    <mergeCell ref="P6:U6"/>
    <mergeCell ref="T8:U8"/>
    <mergeCell ref="V8:W8"/>
    <mergeCell ref="J10:K10"/>
    <mergeCell ref="L10:M10"/>
    <mergeCell ref="N10:O10"/>
    <mergeCell ref="P10:Q10"/>
    <mergeCell ref="R10:S10"/>
    <mergeCell ref="X8:Y8"/>
    <mergeCell ref="AD6:AE6"/>
    <mergeCell ref="Z8:AA8"/>
    <mergeCell ref="T9:U9"/>
    <mergeCell ref="V9:W9"/>
    <mergeCell ref="X9:Y9"/>
    <mergeCell ref="Z9:AA9"/>
    <mergeCell ref="N8:O8"/>
    <mergeCell ref="P8:Q8"/>
    <mergeCell ref="T10:U10"/>
    <mergeCell ref="J8:K8"/>
    <mergeCell ref="L8:M8"/>
    <mergeCell ref="R8:S8"/>
    <mergeCell ref="AH6:AI6"/>
    <mergeCell ref="AK6:AL6"/>
    <mergeCell ref="AN6:AO6"/>
    <mergeCell ref="P7:Q7"/>
    <mergeCell ref="R7:S7"/>
    <mergeCell ref="T7:U7"/>
    <mergeCell ref="V5:W7"/>
    <mergeCell ref="X5:Y7"/>
    <mergeCell ref="Z5:AA7"/>
    <mergeCell ref="B9:C9"/>
    <mergeCell ref="D9:E9"/>
    <mergeCell ref="F9:G9"/>
    <mergeCell ref="H9:I9"/>
    <mergeCell ref="J9:K9"/>
    <mergeCell ref="L9:M9"/>
    <mergeCell ref="N9:O9"/>
    <mergeCell ref="P9:Q9"/>
    <mergeCell ref="R9:S9"/>
    <mergeCell ref="B8:C8"/>
    <mergeCell ref="D8:E8"/>
    <mergeCell ref="F8:G8"/>
    <mergeCell ref="H8:I8"/>
    <mergeCell ref="R14:S14"/>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T15:U15"/>
    <mergeCell ref="V15:W15"/>
    <mergeCell ref="X15:Y15"/>
    <mergeCell ref="Z15:AA15"/>
    <mergeCell ref="B14:C14"/>
    <mergeCell ref="D14:E14"/>
    <mergeCell ref="F14:G14"/>
    <mergeCell ref="H14:I14"/>
    <mergeCell ref="T14:U14"/>
    <mergeCell ref="J14:K14"/>
    <mergeCell ref="L14:M14"/>
    <mergeCell ref="N14:O14"/>
    <mergeCell ref="P14:Q14"/>
    <mergeCell ref="B15:C15"/>
    <mergeCell ref="D15:E15"/>
    <mergeCell ref="F15:G15"/>
    <mergeCell ref="H15:I15"/>
    <mergeCell ref="J15:K15"/>
    <mergeCell ref="L15:M15"/>
    <mergeCell ref="N15:O15"/>
    <mergeCell ref="P15:Q15"/>
    <mergeCell ref="R15:S15"/>
    <mergeCell ref="H17:I17"/>
    <mergeCell ref="J17:K17"/>
    <mergeCell ref="L17:M17"/>
    <mergeCell ref="H10:I10"/>
    <mergeCell ref="B12:C12"/>
    <mergeCell ref="B13:C13"/>
    <mergeCell ref="D12:E12"/>
    <mergeCell ref="V14:W14"/>
    <mergeCell ref="X14:Y14"/>
    <mergeCell ref="T16:U16"/>
    <mergeCell ref="D13:E13"/>
    <mergeCell ref="F12:G12"/>
    <mergeCell ref="F13:G13"/>
    <mergeCell ref="H12:I12"/>
    <mergeCell ref="H13:I13"/>
    <mergeCell ref="J12:K12"/>
    <mergeCell ref="J13:K13"/>
    <mergeCell ref="V12:W12"/>
    <mergeCell ref="V13:W13"/>
    <mergeCell ref="P12:Q12"/>
    <mergeCell ref="P13:Q13"/>
    <mergeCell ref="R12:S12"/>
    <mergeCell ref="R13:S13"/>
    <mergeCell ref="T12:U12"/>
    <mergeCell ref="R17:S17"/>
    <mergeCell ref="N16:O16"/>
    <mergeCell ref="P16:Q16"/>
    <mergeCell ref="R16:S16"/>
    <mergeCell ref="R18:S18"/>
    <mergeCell ref="T18:U18"/>
    <mergeCell ref="V18:W18"/>
    <mergeCell ref="B18:C18"/>
    <mergeCell ref="D18:E18"/>
    <mergeCell ref="F18:G18"/>
    <mergeCell ref="H18:I18"/>
    <mergeCell ref="J18:K18"/>
    <mergeCell ref="L18:M18"/>
    <mergeCell ref="N18:O18"/>
    <mergeCell ref="P18:Q18"/>
    <mergeCell ref="B16:C16"/>
    <mergeCell ref="D16:E16"/>
    <mergeCell ref="F16:G16"/>
    <mergeCell ref="H16:I16"/>
    <mergeCell ref="J16:K16"/>
    <mergeCell ref="L16:M16"/>
    <mergeCell ref="B17:C17"/>
    <mergeCell ref="D17:E17"/>
    <mergeCell ref="F17:G17"/>
    <mergeCell ref="B20:U20"/>
    <mergeCell ref="V20:W20"/>
    <mergeCell ref="X20:Y20"/>
    <mergeCell ref="Z20:AA20"/>
    <mergeCell ref="L19:M19"/>
    <mergeCell ref="N19:O19"/>
    <mergeCell ref="P19:Q19"/>
    <mergeCell ref="R19:S19"/>
    <mergeCell ref="B19:C19"/>
    <mergeCell ref="D19:E19"/>
    <mergeCell ref="F19:G19"/>
    <mergeCell ref="H19:I19"/>
    <mergeCell ref="J19:K19"/>
    <mergeCell ref="T19:U19"/>
    <mergeCell ref="V19:W19"/>
    <mergeCell ref="AN21:AO21"/>
    <mergeCell ref="N23:Q23"/>
    <mergeCell ref="R23:S24"/>
    <mergeCell ref="T23:U24"/>
    <mergeCell ref="V23:W24"/>
    <mergeCell ref="X23:Y24"/>
    <mergeCell ref="Z23:AA24"/>
    <mergeCell ref="AN23:AO23"/>
    <mergeCell ref="N24:O24"/>
    <mergeCell ref="P24:Q24"/>
    <mergeCell ref="V27:W27"/>
    <mergeCell ref="X27:Y27"/>
    <mergeCell ref="Z27:AA27"/>
    <mergeCell ref="V28:W28"/>
    <mergeCell ref="X28:Y28"/>
    <mergeCell ref="Z28:AA28"/>
    <mergeCell ref="L31:M32"/>
    <mergeCell ref="N31:O32"/>
    <mergeCell ref="P31:Q32"/>
    <mergeCell ref="R31:S32"/>
    <mergeCell ref="T31:U32"/>
    <mergeCell ref="X36:Y36"/>
    <mergeCell ref="Z36:AA36"/>
    <mergeCell ref="V31:W32"/>
    <mergeCell ref="X31:Y32"/>
    <mergeCell ref="Z31:AA32"/>
    <mergeCell ref="X33:Y33"/>
    <mergeCell ref="R37:S37"/>
    <mergeCell ref="T37:U37"/>
    <mergeCell ref="V37:W37"/>
    <mergeCell ref="Z33:AA33"/>
    <mergeCell ref="R36:S36"/>
    <mergeCell ref="T36:U36"/>
    <mergeCell ref="V36:W36"/>
    <mergeCell ref="X37:Y37"/>
    <mergeCell ref="Z37:AA37"/>
    <mergeCell ref="X34:Y34"/>
    <mergeCell ref="X35:Y35"/>
    <mergeCell ref="Z34:AA34"/>
    <mergeCell ref="Z35:AA35"/>
    <mergeCell ref="R35:S35"/>
    <mergeCell ref="V34:W34"/>
    <mergeCell ref="V35:W35"/>
    <mergeCell ref="V33:W33"/>
    <mergeCell ref="R34:S34"/>
    <mergeCell ref="V38:W38"/>
    <mergeCell ref="X38:Y38"/>
    <mergeCell ref="Z38:AA38"/>
    <mergeCell ref="L37:M37"/>
    <mergeCell ref="N37:O37"/>
    <mergeCell ref="P37:Q37"/>
    <mergeCell ref="J37:K37"/>
    <mergeCell ref="D44:J44"/>
    <mergeCell ref="W44:Y44"/>
    <mergeCell ref="J38:U38"/>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44" priority="53" stopIfTrue="1">
      <formula>$V$20=0</formula>
    </cfRule>
  </conditionalFormatting>
  <conditionalFormatting sqref="X20:Y20">
    <cfRule type="expression" dxfId="43" priority="52" stopIfTrue="1">
      <formula>$X$20=0</formula>
    </cfRule>
  </conditionalFormatting>
  <conditionalFormatting sqref="Z20:AA20">
    <cfRule type="expression" dxfId="42" priority="51" stopIfTrue="1">
      <formula>$Z$20=0</formula>
    </cfRule>
  </conditionalFormatting>
  <conditionalFormatting sqref="V28:W28">
    <cfRule type="expression" dxfId="41" priority="50" stopIfTrue="1">
      <formula>$V$28:$W$28=0</formula>
    </cfRule>
  </conditionalFormatting>
  <conditionalFormatting sqref="V38:W38">
    <cfRule type="expression" dxfId="40" priority="49" stopIfTrue="1">
      <formula>$V$38:$W$38=0</formula>
    </cfRule>
  </conditionalFormatting>
  <conditionalFormatting sqref="Y41:Z41">
    <cfRule type="expression" dxfId="39" priority="48" stopIfTrue="1">
      <formula>$Y$41=0</formula>
    </cfRule>
  </conditionalFormatting>
  <conditionalFormatting sqref="Q41:R41">
    <cfRule type="expression" dxfId="38" priority="47" stopIfTrue="1">
      <formula>$Q$41=0</formula>
    </cfRule>
  </conditionalFormatting>
  <conditionalFormatting sqref="U41:V41">
    <cfRule type="expression" dxfId="37" priority="46" stopIfTrue="1">
      <formula>$U$41=0</formula>
    </cfRule>
  </conditionalFormatting>
  <conditionalFormatting sqref="L41:N41">
    <cfRule type="expression" dxfId="36" priority="45" stopIfTrue="1">
      <formula>$L$41=0</formula>
    </cfRule>
  </conditionalFormatting>
  <conditionalFormatting sqref="X8:Y8">
    <cfRule type="expression" dxfId="35" priority="43" stopIfTrue="1">
      <formula>#VALUE!</formula>
    </cfRule>
    <cfRule type="expression" dxfId="34" priority="44" stopIfTrue="1">
      <formula>#VALUE!</formula>
    </cfRule>
  </conditionalFormatting>
  <conditionalFormatting sqref="X19:Y19">
    <cfRule type="expression" dxfId="33" priority="42" stopIfTrue="1">
      <formula>#VALUE!</formula>
    </cfRule>
  </conditionalFormatting>
  <conditionalFormatting sqref="X8:Y8">
    <cfRule type="expression" dxfId="32" priority="30" stopIfTrue="1">
      <formula>#VALUE!</formula>
    </cfRule>
    <cfRule type="expression" dxfId="31" priority="31" stopIfTrue="1">
      <formula>#VALUE!</formula>
    </cfRule>
  </conditionalFormatting>
  <conditionalFormatting sqref="X19:Y19">
    <cfRule type="expression" dxfId="30" priority="29" stopIfTrue="1">
      <formula>#VALUE!</formula>
    </cfRule>
  </conditionalFormatting>
  <conditionalFormatting sqref="X28:Y28">
    <cfRule type="expression" dxfId="29" priority="28" stopIfTrue="1">
      <formula>$X$28:$Y$28=0</formula>
    </cfRule>
  </conditionalFormatting>
  <conditionalFormatting sqref="Z28:AA28">
    <cfRule type="expression" dxfId="28" priority="27" stopIfTrue="1">
      <formula>$Z$28:$AA$28=0</formula>
    </cfRule>
  </conditionalFormatting>
  <conditionalFormatting sqref="X38:Y38">
    <cfRule type="expression" dxfId="27" priority="26" stopIfTrue="1">
      <formula>$X$38:$Y$38=0</formula>
    </cfRule>
  </conditionalFormatting>
  <conditionalFormatting sqref="Z38:AA38">
    <cfRule type="expression" dxfId="26" priority="25" stopIfTrue="1">
      <formula>$Z$38:$AA$38=0</formula>
    </cfRule>
  </conditionalFormatting>
  <conditionalFormatting sqref="P8:U8">
    <cfRule type="expression" dxfId="25" priority="14" stopIfTrue="1">
      <formula>$AG$8=TRUE</formula>
    </cfRule>
  </conditionalFormatting>
  <conditionalFormatting sqref="P15:U15">
    <cfRule type="expression" dxfId="24" priority="13" stopIfTrue="1">
      <formula>$AG$15=TRUE</formula>
    </cfRule>
  </conditionalFormatting>
  <conditionalFormatting sqref="P16:U16">
    <cfRule type="expression" dxfId="23" priority="12" stopIfTrue="1">
      <formula>$AG$16=TRUE</formula>
    </cfRule>
  </conditionalFormatting>
  <conditionalFormatting sqref="P17:U17">
    <cfRule type="expression" dxfId="22" priority="11" stopIfTrue="1">
      <formula>$AG$17=TRUE</formula>
    </cfRule>
  </conditionalFormatting>
  <conditionalFormatting sqref="P18:U18">
    <cfRule type="expression" dxfId="21" priority="10" stopIfTrue="1">
      <formula>$AG$18=TRUE</formula>
    </cfRule>
  </conditionalFormatting>
  <conditionalFormatting sqref="P19:U19">
    <cfRule type="expression" dxfId="20" priority="9" stopIfTrue="1">
      <formula>$AG$19=TRUE</formula>
    </cfRule>
  </conditionalFormatting>
  <conditionalFormatting sqref="P10:U10">
    <cfRule type="expression" dxfId="19" priority="8" stopIfTrue="1">
      <formula>$AG$10=TRUE</formula>
    </cfRule>
  </conditionalFormatting>
  <conditionalFormatting sqref="P11:U11">
    <cfRule type="expression" dxfId="18" priority="7" stopIfTrue="1">
      <formula>$AG$11=TRUE</formula>
    </cfRule>
  </conditionalFormatting>
  <conditionalFormatting sqref="P14:U14">
    <cfRule type="expression" dxfId="17" priority="6" stopIfTrue="1">
      <formula>$AG$14=TRUE</formula>
    </cfRule>
  </conditionalFormatting>
  <conditionalFormatting sqref="P9:U9">
    <cfRule type="expression" dxfId="16" priority="5" stopIfTrue="1">
      <formula>$AG$9=TRUE</formula>
    </cfRule>
  </conditionalFormatting>
  <conditionalFormatting sqref="P12:U12">
    <cfRule type="expression" dxfId="15" priority="2">
      <formula>$AG$12=TRUE</formula>
    </cfRule>
  </conditionalFormatting>
  <conditionalFormatting sqref="P13:U13">
    <cfRule type="expression" dxfId="14" priority="1">
      <formula>$AG$13=TRUE</formula>
    </cfRule>
  </conditionalFormatting>
  <dataValidations disablePrompts="1" count="1">
    <dataValidation type="list" allowBlank="1" showInputMessage="1" showErrorMessage="1" sqref="M14:M19 L8:L19 M8:M11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104470" r:id="rId14" name="Check Box 22">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104471" r:id="rId15" name="Check Box 23">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104472" r:id="rId16" name="Check Box 24">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104481" r:id="rId17" name="Check Box 33">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104482" r:id="rId18" name="Check Box 34">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104484" r:id="rId19" name="Check Box 36">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104485" r:id="rId20" name="Check Box 37">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H138"/>
  <sheetViews>
    <sheetView showGridLines="0" view="pageBreakPreview" topLeftCell="A16" zoomScaleNormal="100" zoomScaleSheetLayoutView="100" workbookViewId="0">
      <selection activeCell="L20" sqref="L20:M20"/>
    </sheetView>
  </sheetViews>
  <sheetFormatPr defaultRowHeight="13.2" x14ac:dyDescent="0.2"/>
  <cols>
    <col min="1" max="1" width="0.6640625" customWidth="1"/>
    <col min="2" max="19" width="3.88671875" customWidth="1"/>
    <col min="20" max="29" width="3.6640625" customWidth="1"/>
    <col min="30" max="31" width="11" hidden="1" customWidth="1"/>
    <col min="32" max="32" width="3.6640625" hidden="1" customWidth="1"/>
    <col min="33" max="34" width="9.88671875" hidden="1" customWidth="1"/>
    <col min="35" max="53" width="3.6640625" customWidth="1"/>
  </cols>
  <sheetData>
    <row r="1" spans="2:34" ht="3.75" customHeight="1" x14ac:dyDescent="0.2"/>
    <row r="2" spans="2:34" ht="30" customHeight="1" x14ac:dyDescent="0.2">
      <c r="B2" s="436" t="s">
        <v>57</v>
      </c>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35"/>
      <c r="AC2" s="35"/>
    </row>
    <row r="3" spans="2:34" ht="20.100000000000001" customHeight="1" x14ac:dyDescent="0.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row>
    <row r="4" spans="2:34" ht="20.100000000000001" customHeight="1" thickBot="1" x14ac:dyDescent="0.25">
      <c r="B4" s="4" t="s">
        <v>55</v>
      </c>
      <c r="C4" s="2"/>
      <c r="D4" s="2"/>
      <c r="E4" s="2"/>
      <c r="F4" s="2"/>
      <c r="G4" s="2"/>
      <c r="H4" s="2"/>
      <c r="I4" s="2"/>
      <c r="J4" s="2"/>
      <c r="K4" s="2"/>
      <c r="L4" s="2"/>
      <c r="M4" s="2"/>
      <c r="N4" s="2"/>
      <c r="O4" s="2"/>
      <c r="P4" s="2"/>
      <c r="Q4" s="2"/>
      <c r="R4" s="2"/>
      <c r="S4" s="2"/>
      <c r="T4" s="28"/>
      <c r="U4" s="28"/>
      <c r="V4" s="28"/>
      <c r="W4" s="28"/>
      <c r="X4" s="6"/>
      <c r="Y4" s="6"/>
      <c r="Z4" s="6"/>
      <c r="AA4" s="6"/>
      <c r="AB4" s="2"/>
      <c r="AC4" s="2"/>
    </row>
    <row r="5" spans="2:34" ht="20.100000000000001" customHeight="1" x14ac:dyDescent="0.2">
      <c r="B5" s="437" t="s">
        <v>6</v>
      </c>
      <c r="C5" s="416"/>
      <c r="D5" s="416" t="s">
        <v>91</v>
      </c>
      <c r="E5" s="416"/>
      <c r="F5" s="416"/>
      <c r="G5" s="416"/>
      <c r="H5" s="416" t="s">
        <v>7</v>
      </c>
      <c r="I5" s="416"/>
      <c r="J5" s="415" t="s">
        <v>193</v>
      </c>
      <c r="K5" s="416"/>
      <c r="L5" s="418" t="s">
        <v>10</v>
      </c>
      <c r="M5" s="419"/>
      <c r="N5" s="415" t="s">
        <v>68</v>
      </c>
      <c r="O5" s="416"/>
      <c r="P5" s="415" t="s">
        <v>67</v>
      </c>
      <c r="Q5" s="416"/>
      <c r="R5" s="416" t="s">
        <v>13</v>
      </c>
      <c r="S5" s="427"/>
      <c r="T5" s="29"/>
      <c r="U5" s="28"/>
      <c r="V5" s="28"/>
      <c r="W5" s="28"/>
      <c r="X5" s="24"/>
      <c r="Y5" s="24"/>
      <c r="Z5" s="24"/>
      <c r="AA5" s="24"/>
      <c r="AD5" s="27" t="s">
        <v>88</v>
      </c>
      <c r="AE5" s="27"/>
      <c r="AG5" s="2" t="s">
        <v>14</v>
      </c>
      <c r="AH5" s="2"/>
    </row>
    <row r="6" spans="2:34" ht="20.100000000000001" customHeight="1" thickBot="1" x14ac:dyDescent="0.25">
      <c r="B6" s="438"/>
      <c r="C6" s="417"/>
      <c r="D6" s="439" t="s">
        <v>9</v>
      </c>
      <c r="E6" s="440"/>
      <c r="F6" s="441" t="s">
        <v>8</v>
      </c>
      <c r="G6" s="417"/>
      <c r="H6" s="417"/>
      <c r="I6" s="417"/>
      <c r="J6" s="417"/>
      <c r="K6" s="417"/>
      <c r="L6" s="420"/>
      <c r="M6" s="420"/>
      <c r="N6" s="417"/>
      <c r="O6" s="417"/>
      <c r="P6" s="417"/>
      <c r="Q6" s="417"/>
      <c r="R6" s="417"/>
      <c r="S6" s="428"/>
      <c r="T6" s="30"/>
      <c r="U6" s="31"/>
      <c r="V6" s="31"/>
      <c r="W6" s="31"/>
      <c r="X6" s="24"/>
      <c r="Y6" s="24"/>
      <c r="Z6" s="24"/>
      <c r="AA6" s="24"/>
      <c r="AD6" s="27" t="s">
        <v>86</v>
      </c>
      <c r="AE6" s="27" t="s">
        <v>84</v>
      </c>
      <c r="AG6" s="2" t="s">
        <v>4</v>
      </c>
      <c r="AH6" s="2" t="s">
        <v>18</v>
      </c>
    </row>
    <row r="7" spans="2:34" ht="20.100000000000001" customHeight="1" x14ac:dyDescent="0.2">
      <c r="B7" s="397"/>
      <c r="C7" s="433"/>
      <c r="D7" s="264"/>
      <c r="E7" s="265"/>
      <c r="F7" s="265"/>
      <c r="G7" s="266"/>
      <c r="H7" s="267"/>
      <c r="I7" s="267"/>
      <c r="J7" s="267"/>
      <c r="K7" s="267"/>
      <c r="L7" s="268" t="s">
        <v>65</v>
      </c>
      <c r="M7" s="268"/>
      <c r="N7" s="430" t="str">
        <f>IF(D7="","",D7*F7*J7*AG7)</f>
        <v/>
      </c>
      <c r="O7" s="430"/>
      <c r="P7" s="434" t="str">
        <f>IF(D7="","",IF(共通条件・結果!$AA$7="８地域","-",D7*F7*J7*AH7))</f>
        <v/>
      </c>
      <c r="Q7" s="434"/>
      <c r="R7" s="430" t="str">
        <f>IF(D7="","",D7*F7*AD7)</f>
        <v/>
      </c>
      <c r="S7" s="435"/>
      <c r="T7" s="53"/>
      <c r="U7" s="41"/>
      <c r="V7" s="41"/>
      <c r="W7" s="41"/>
      <c r="X7" s="24"/>
      <c r="Y7" s="24"/>
      <c r="Z7" s="24"/>
      <c r="AA7" s="24"/>
      <c r="AD7" s="27">
        <f>IF(共通条件・結果!$AA$7="８地域",H7,IF(AE7="FALSE",H7,0.5*H7+0.5*(1/((1/H7)+AE7))))</f>
        <v>0</v>
      </c>
      <c r="AE7" s="26" t="str">
        <f>IF(D7="","FALSE",IF(L7="雨戸",0.1,IF(L7="ｼｬｯﾀｰ",0.1,IF(L7="障子",0.18))))</f>
        <v>FALSE</v>
      </c>
      <c r="AG7" s="27" t="str">
        <f>IF(共通条件・結果!$AA$7="１地域","0.93",IF(共通条件・結果!$AA$7="２地域","0.93",IF(共通条件・結果!$AA$7="３地域","0.93",IF(共通条件・結果!$AA$7="４地域","0.94",IF(共通条件・結果!$AA$7="５地域","0.93",IF(共通条件・結果!$AA$7="６地域","0.94",IF(共通条件・結果!$AA$7="７地域","0.94",IF(共通条件・結果!$AA$7="８地域","0.93"))))))))</f>
        <v>0.93</v>
      </c>
      <c r="AH7" s="27" t="str">
        <f>IF(共通条件・結果!$AA$7="１地域","0.80",IF(共通条件・結果!$AA$7="２地域","0.81",IF(共通条件・結果!$AA$7="３地域","0.81",IF(共通条件・結果!$AA$7="４地域","0.82",IF(共通条件・結果!$AA$7="５地域","0.80",IF(共通条件・結果!$AA$7="６地域","0.80",IF(共通条件・結果!$AA$7="７地域","0.80",IF(共通条件・結果!$AA$7="８地域","-"))))))))</f>
        <v>0.81</v>
      </c>
    </row>
    <row r="8" spans="2:34" ht="20.100000000000001" customHeight="1" x14ac:dyDescent="0.2">
      <c r="B8" s="394"/>
      <c r="C8" s="432"/>
      <c r="D8" s="187"/>
      <c r="E8" s="188"/>
      <c r="F8" s="188"/>
      <c r="G8" s="189"/>
      <c r="H8" s="190"/>
      <c r="I8" s="190"/>
      <c r="J8" s="190"/>
      <c r="K8" s="190"/>
      <c r="L8" s="203" t="s">
        <v>65</v>
      </c>
      <c r="M8" s="203"/>
      <c r="N8" s="388" t="str">
        <f>IF(D8="","",D8*F8*J8*AG8)</f>
        <v/>
      </c>
      <c r="O8" s="388"/>
      <c r="P8" s="388" t="str">
        <f>IF(D8="","",IF(共通条件・結果!$AA$7="８地域","-",D8*F8*J8*AH8))</f>
        <v/>
      </c>
      <c r="Q8" s="388"/>
      <c r="R8" s="388" t="str">
        <f>IF(D8="","",D8*F8*AD8)</f>
        <v/>
      </c>
      <c r="S8" s="389"/>
      <c r="T8" s="54"/>
      <c r="U8" s="34"/>
      <c r="V8" s="34"/>
      <c r="W8" s="34"/>
      <c r="X8" s="24"/>
      <c r="Y8" s="24"/>
      <c r="Z8" s="24"/>
      <c r="AA8" s="24"/>
      <c r="AD8" s="27">
        <f>IF(共通条件・結果!$AA$7="８地域",H8,IF(AE8="FALSE",H8,0.5*H8+0.5*(1/((1/H8)+AE8))))</f>
        <v>0</v>
      </c>
      <c r="AE8" s="26" t="str">
        <f>IF(D8="","FALSE",IF(L8="雨戸",0.1,IF(L8="ｼｬｯﾀｰ",0.1,IF(L8="障子",0.18))))</f>
        <v>FALSE</v>
      </c>
      <c r="AG8" s="27" t="str">
        <f>IF(共通条件・結果!$AA$7="１地域","0.93",IF(共通条件・結果!$AA$7="２地域","0.93",IF(共通条件・結果!$AA$7="３地域","0.93",IF(共通条件・結果!$AA$7="４地域","0.94",IF(共通条件・結果!$AA$7="５地域","0.93",IF(共通条件・結果!$AA$7="６地域","0.94",IF(共通条件・結果!$AA$7="７地域","0.94",IF(共通条件・結果!$AA$7="８地域","0.93"))))))))</f>
        <v>0.93</v>
      </c>
      <c r="AH8" s="27" t="str">
        <f>IF(共通条件・結果!$AA$7="１地域","0.80",IF(共通条件・結果!$AA$7="２地域","0.81",IF(共通条件・結果!$AA$7="３地域","0.81",IF(共通条件・結果!$AA$7="４地域","0.82",IF(共通条件・結果!$AA$7="５地域","0.80",IF(共通条件・結果!$AA$7="６地域","0.80",IF(共通条件・結果!$AA$7="７地域","0.80",IF(共通条件・結果!$AA$7="８地域","-"))))))))</f>
        <v>0.81</v>
      </c>
    </row>
    <row r="9" spans="2:34" ht="20.100000000000001" customHeight="1" x14ac:dyDescent="0.2">
      <c r="B9" s="394"/>
      <c r="C9" s="432"/>
      <c r="D9" s="187"/>
      <c r="E9" s="188"/>
      <c r="F9" s="188"/>
      <c r="G9" s="189"/>
      <c r="H9" s="190"/>
      <c r="I9" s="190"/>
      <c r="J9" s="190"/>
      <c r="K9" s="190"/>
      <c r="L9" s="203" t="s">
        <v>65</v>
      </c>
      <c r="M9" s="203"/>
      <c r="N9" s="388" t="str">
        <f>IF(D9="","",D9*F9*J9*AG9)</f>
        <v/>
      </c>
      <c r="O9" s="388"/>
      <c r="P9" s="388" t="str">
        <f>IF(D9="","",IF(共通条件・結果!$AA$7="８地域","-",D9*F9*J9*AH9))</f>
        <v/>
      </c>
      <c r="Q9" s="388"/>
      <c r="R9" s="388" t="str">
        <f>IF(D9="","",D9*F9*AD9)</f>
        <v/>
      </c>
      <c r="S9" s="389"/>
      <c r="T9" s="54"/>
      <c r="U9" s="34"/>
      <c r="V9" s="34"/>
      <c r="W9" s="34"/>
      <c r="X9" s="24"/>
      <c r="Y9" s="24"/>
      <c r="Z9" s="24"/>
      <c r="AA9" s="24"/>
      <c r="AD9" s="27">
        <f>IF(共通条件・結果!$AA$7="８地域",H9,IF(AE9="FALSE",H9,0.5*H9+0.5*(1/((1/H9)+AE9))))</f>
        <v>0</v>
      </c>
      <c r="AE9" s="26" t="str">
        <f>IF(D9="","FALSE",IF(L9="雨戸",0.1,IF(L9="ｼｬｯﾀｰ",0.1,IF(L9="障子",0.18))))</f>
        <v>FALSE</v>
      </c>
      <c r="AG9" s="27" t="str">
        <f>IF(共通条件・結果!$AA$7="１地域","0.93",IF(共通条件・結果!$AA$7="２地域","0.93",IF(共通条件・結果!$AA$7="３地域","0.93",IF(共通条件・結果!$AA$7="４地域","0.94",IF(共通条件・結果!$AA$7="５地域","0.93",IF(共通条件・結果!$AA$7="６地域","0.94",IF(共通条件・結果!$AA$7="７地域","0.94",IF(共通条件・結果!$AA$7="８地域","0.93"))))))))</f>
        <v>0.93</v>
      </c>
      <c r="AH9" s="27" t="str">
        <f>IF(共通条件・結果!$AA$7="１地域","0.80",IF(共通条件・結果!$AA$7="２地域","0.81",IF(共通条件・結果!$AA$7="３地域","0.81",IF(共通条件・結果!$AA$7="４地域","0.82",IF(共通条件・結果!$AA$7="５地域","0.80",IF(共通条件・結果!$AA$7="６地域","0.80",IF(共通条件・結果!$AA$7="７地域","0.80",IF(共通条件・結果!$AA$7="８地域","-"))))))))</f>
        <v>0.81</v>
      </c>
    </row>
    <row r="10" spans="2:34" ht="20.100000000000001" customHeight="1" x14ac:dyDescent="0.2">
      <c r="B10" s="394"/>
      <c r="C10" s="432"/>
      <c r="D10" s="187"/>
      <c r="E10" s="188"/>
      <c r="F10" s="188"/>
      <c r="G10" s="189"/>
      <c r="H10" s="190"/>
      <c r="I10" s="190"/>
      <c r="J10" s="190"/>
      <c r="K10" s="190"/>
      <c r="L10" s="203" t="s">
        <v>65</v>
      </c>
      <c r="M10" s="203"/>
      <c r="N10" s="388" t="str">
        <f>IF(D10="","",D10*F10*J10*AG10)</f>
        <v/>
      </c>
      <c r="O10" s="388"/>
      <c r="P10" s="388" t="str">
        <f>IF(D10="","",IF(共通条件・結果!$AA$7="８地域","-",D10*F10*J10*AH10))</f>
        <v/>
      </c>
      <c r="Q10" s="388"/>
      <c r="R10" s="388" t="str">
        <f>IF(D10="","",D10*F10*AD10)</f>
        <v/>
      </c>
      <c r="S10" s="389"/>
      <c r="T10" s="53"/>
      <c r="U10" s="41"/>
      <c r="V10" s="41"/>
      <c r="W10" s="41"/>
      <c r="X10" s="24"/>
      <c r="Y10" s="24"/>
      <c r="Z10" s="24"/>
      <c r="AA10" s="24"/>
      <c r="AD10" s="27">
        <f>IF(共通条件・結果!$AA$7="８地域",H10,IF(AE10="FALSE",H10,0.5*H10+0.5*(1/((1/H10)+AE10))))</f>
        <v>0</v>
      </c>
      <c r="AE10" s="26" t="str">
        <f>IF(D10="","FALSE",IF(L10="雨戸",0.1,IF(L10="ｼｬｯﾀｰ",0.1,IF(L10="障子",0.18))))</f>
        <v>FALSE</v>
      </c>
      <c r="AG10" s="27" t="str">
        <f>IF(共通条件・結果!$AA$7="１地域","0.93",IF(共通条件・結果!$AA$7="２地域","0.93",IF(共通条件・結果!$AA$7="３地域","0.93",IF(共通条件・結果!$AA$7="４地域","0.94",IF(共通条件・結果!$AA$7="５地域","0.93",IF(共通条件・結果!$AA$7="６地域","0.94",IF(共通条件・結果!$AA$7="７地域","0.94",IF(共通条件・結果!$AA$7="８地域","0.93"))))))))</f>
        <v>0.93</v>
      </c>
      <c r="AH10" s="27" t="str">
        <f>IF(共通条件・結果!$AA$7="１地域","0.80",IF(共通条件・結果!$AA$7="２地域","0.81",IF(共通条件・結果!$AA$7="３地域","0.81",IF(共通条件・結果!$AA$7="４地域","0.82",IF(共通条件・結果!$AA$7="５地域","0.80",IF(共通条件・結果!$AA$7="６地域","0.80",IF(共通条件・結果!$AA$7="７地域","0.80",IF(共通条件・結果!$AA$7="８地域","-"))))))))</f>
        <v>0.81</v>
      </c>
    </row>
    <row r="11" spans="2:34" ht="20.100000000000001" customHeight="1" thickBot="1" x14ac:dyDescent="0.25">
      <c r="B11" s="383"/>
      <c r="C11" s="429"/>
      <c r="D11" s="187"/>
      <c r="E11" s="188"/>
      <c r="F11" s="188"/>
      <c r="G11" s="189"/>
      <c r="H11" s="190"/>
      <c r="I11" s="190"/>
      <c r="J11" s="190"/>
      <c r="K11" s="190"/>
      <c r="L11" s="268"/>
      <c r="M11" s="268"/>
      <c r="N11" s="430" t="str">
        <f>IF(D11="","",D11*F11*J11*AG11)</f>
        <v/>
      </c>
      <c r="O11" s="430"/>
      <c r="P11" s="431" t="str">
        <f>IF(D11="","",IF(共通条件・結果!$AA$7="８地域","-",D11*F11*J11*AH11))</f>
        <v/>
      </c>
      <c r="Q11" s="431"/>
      <c r="R11" s="388" t="str">
        <f>IF(D11="","",D11*F11*AD11)</f>
        <v/>
      </c>
      <c r="S11" s="389"/>
      <c r="T11" s="53"/>
      <c r="U11" s="41"/>
      <c r="V11" s="41"/>
      <c r="W11" s="41"/>
      <c r="X11" s="24"/>
      <c r="Y11" s="24"/>
      <c r="Z11" s="24"/>
      <c r="AA11" s="24"/>
      <c r="AD11" s="27">
        <f>IF(共通条件・結果!$AA$7="８地域",H11,IF(AE11="FALSE",H11,0.5*H11+0.5*(1/((1/H11)+AE11))))</f>
        <v>0</v>
      </c>
      <c r="AE11" s="26" t="str">
        <f>IF(D11="","FALSE",IF(L11="雨戸",0.1,IF(L11="ｼｬｯﾀｰ",0.1,IF(L11="障子",0.18))))</f>
        <v>FALSE</v>
      </c>
      <c r="AG11" s="27" t="str">
        <f>IF(共通条件・結果!$AA$7="１地域","0.93",IF(共通条件・結果!$AA$7="２地域","0.93",IF(共通条件・結果!$AA$7="３地域","0.93",IF(共通条件・結果!$AA$7="４地域","0.94",IF(共通条件・結果!$AA$7="５地域","0.93",IF(共通条件・結果!$AA$7="６地域","0.94",IF(共通条件・結果!$AA$7="７地域","0.94",IF(共通条件・結果!$AA$7="８地域","0.93"))))))))</f>
        <v>0.93</v>
      </c>
      <c r="AH11" s="27" t="str">
        <f>IF(共通条件・結果!$AA$7="１地域","0.80",IF(共通条件・結果!$AA$7="２地域","0.81",IF(共通条件・結果!$AA$7="３地域","0.81",IF(共通条件・結果!$AA$7="４地域","0.82",IF(共通条件・結果!$AA$7="５地域","0.80",IF(共通条件・結果!$AA$7="６地域","0.80",IF(共通条件・結果!$AA$7="７地域","0.80",IF(共通条件・結果!$AA$7="８地域","-"))))))))</f>
        <v>0.81</v>
      </c>
    </row>
    <row r="12" spans="2:34" ht="20.100000000000001" customHeight="1" thickBot="1" x14ac:dyDescent="0.25">
      <c r="B12" s="408" t="s">
        <v>139</v>
      </c>
      <c r="C12" s="409"/>
      <c r="D12" s="409"/>
      <c r="E12" s="409"/>
      <c r="F12" s="409"/>
      <c r="G12" s="409"/>
      <c r="H12" s="409"/>
      <c r="I12" s="409"/>
      <c r="J12" s="409"/>
      <c r="K12" s="409"/>
      <c r="L12" s="409"/>
      <c r="M12" s="410"/>
      <c r="N12" s="381">
        <f>SUM(N7:O11)</f>
        <v>0</v>
      </c>
      <c r="O12" s="381"/>
      <c r="P12" s="381">
        <f>SUM(P7:Q11)</f>
        <v>0</v>
      </c>
      <c r="Q12" s="381"/>
      <c r="R12" s="381">
        <f>SUM(R7:S11)</f>
        <v>0</v>
      </c>
      <c r="S12" s="382"/>
      <c r="T12" s="55"/>
      <c r="U12" s="56"/>
      <c r="V12" s="56"/>
      <c r="W12" s="56"/>
      <c r="X12" s="24"/>
      <c r="Y12" s="24"/>
      <c r="Z12" s="24"/>
      <c r="AA12" s="24"/>
      <c r="AD12" s="27"/>
      <c r="AE12" s="26"/>
    </row>
    <row r="13" spans="2:34" ht="20.100000000000001" customHeight="1" x14ac:dyDescent="0.2">
      <c r="B13" s="37"/>
      <c r="C13" s="37"/>
      <c r="D13" s="37"/>
      <c r="E13" s="37"/>
      <c r="F13" s="37"/>
      <c r="G13" s="37"/>
      <c r="H13" s="37"/>
      <c r="I13" s="37"/>
      <c r="J13" s="37"/>
      <c r="K13" s="37"/>
      <c r="L13" s="37"/>
      <c r="M13" s="37"/>
      <c r="N13" s="37"/>
      <c r="O13" s="37"/>
      <c r="P13" s="37"/>
      <c r="Q13" s="37"/>
      <c r="R13" s="37"/>
      <c r="S13" s="37"/>
      <c r="T13" s="37"/>
      <c r="U13" s="37"/>
      <c r="V13" s="37"/>
      <c r="W13" s="37"/>
      <c r="X13" s="2"/>
      <c r="Y13" s="2"/>
      <c r="Z13" s="2"/>
      <c r="AA13" s="2"/>
      <c r="AB13" s="2"/>
      <c r="AC13" s="2"/>
      <c r="AD13" s="27"/>
      <c r="AE13" s="26"/>
    </row>
    <row r="14" spans="2:34" ht="20.100000000000001" customHeight="1" thickBot="1" x14ac:dyDescent="0.25">
      <c r="B14" s="38" t="s">
        <v>58</v>
      </c>
      <c r="C14" s="37"/>
      <c r="D14" s="37"/>
      <c r="E14" s="37"/>
      <c r="F14" s="37"/>
      <c r="G14" s="37"/>
      <c r="H14" s="37"/>
      <c r="I14" s="37"/>
      <c r="J14" s="37"/>
      <c r="K14" s="37"/>
      <c r="L14" s="37"/>
      <c r="M14" s="37"/>
      <c r="N14" s="37"/>
      <c r="O14" s="37"/>
      <c r="P14" s="37"/>
      <c r="Q14" s="37"/>
      <c r="R14" s="37"/>
      <c r="S14" s="37"/>
      <c r="T14" s="37"/>
      <c r="U14" s="37"/>
      <c r="V14" s="37"/>
      <c r="W14" s="37"/>
      <c r="X14" s="2"/>
      <c r="Y14" s="2"/>
      <c r="Z14" s="2"/>
      <c r="AA14" s="2"/>
      <c r="AB14" s="2"/>
      <c r="AC14" s="2"/>
    </row>
    <row r="15" spans="2:34" ht="20.100000000000001" customHeight="1" x14ac:dyDescent="0.2">
      <c r="B15" s="411" t="s">
        <v>0</v>
      </c>
      <c r="C15" s="412"/>
      <c r="D15" s="415" t="s">
        <v>64</v>
      </c>
      <c r="E15" s="416"/>
      <c r="F15" s="415" t="s">
        <v>59</v>
      </c>
      <c r="G15" s="416"/>
      <c r="H15" s="415" t="s">
        <v>170</v>
      </c>
      <c r="I15" s="416"/>
      <c r="J15" s="418" t="s">
        <v>54</v>
      </c>
      <c r="K15" s="419"/>
      <c r="L15" s="421" t="s">
        <v>7</v>
      </c>
      <c r="M15" s="412"/>
      <c r="N15" s="423" t="s">
        <v>68</v>
      </c>
      <c r="O15" s="424"/>
      <c r="P15" s="423" t="s">
        <v>67</v>
      </c>
      <c r="Q15" s="424"/>
      <c r="R15" s="416" t="s">
        <v>13</v>
      </c>
      <c r="S15" s="427"/>
    </row>
    <row r="16" spans="2:34" ht="20.100000000000001" customHeight="1" thickBot="1" x14ac:dyDescent="0.25">
      <c r="B16" s="413"/>
      <c r="C16" s="414"/>
      <c r="D16" s="417"/>
      <c r="E16" s="417"/>
      <c r="F16" s="417"/>
      <c r="G16" s="417"/>
      <c r="H16" s="417"/>
      <c r="I16" s="417"/>
      <c r="J16" s="420"/>
      <c r="K16" s="420"/>
      <c r="L16" s="422"/>
      <c r="M16" s="414"/>
      <c r="N16" s="425"/>
      <c r="O16" s="426"/>
      <c r="P16" s="425"/>
      <c r="Q16" s="426"/>
      <c r="R16" s="417"/>
      <c r="S16" s="428"/>
      <c r="AD16" s="1" t="s">
        <v>92</v>
      </c>
    </row>
    <row r="17" spans="2:30" ht="20.100000000000001" customHeight="1" x14ac:dyDescent="0.2">
      <c r="B17" s="397" t="s">
        <v>257</v>
      </c>
      <c r="C17" s="317"/>
      <c r="D17" s="398" t="s">
        <v>258</v>
      </c>
      <c r="E17" s="399"/>
      <c r="F17" s="316">
        <f>6.3*10.8</f>
        <v>68.040000000000006</v>
      </c>
      <c r="G17" s="317"/>
      <c r="H17" s="316">
        <v>0</v>
      </c>
      <c r="I17" s="317"/>
      <c r="J17" s="400">
        <f>IF(F17="","",F17-H17)</f>
        <v>68.040000000000006</v>
      </c>
      <c r="K17" s="401"/>
      <c r="L17" s="398">
        <v>0.12702755520813</v>
      </c>
      <c r="M17" s="399"/>
      <c r="N17" s="402">
        <f t="shared" ref="N17:N24" si="0">IF($D17="","",IF(OR($D17="外気床",$D17="その他床"),0,IF(OR($D17="屋根",$D17="天井"),J17*L17*0.034)))</f>
        <v>0.29386046511627967</v>
      </c>
      <c r="O17" s="403"/>
      <c r="P17" s="404">
        <f>IF(D17="","",IF(共通条件・結果!$AA$7="８地域","-",IF($D17="　","",IF(OR($D17="外気床",$D17="その他床"),0,IF(OR($D17="屋根",$D17="天井"),J17*L17*0.034)))))</f>
        <v>0.29386046511627967</v>
      </c>
      <c r="Q17" s="405"/>
      <c r="R17" s="406">
        <f t="shared" ref="R17:R24" si="1">IF(F17="","",J17*L17*AD17)</f>
        <v>8.6429548563611664</v>
      </c>
      <c r="S17" s="407"/>
      <c r="AD17" s="32">
        <f>IF(D17="　","FALSE",IF(D17="その他床",0.7,1))</f>
        <v>1</v>
      </c>
    </row>
    <row r="18" spans="2:30" ht="20.100000000000001" customHeight="1" x14ac:dyDescent="0.2">
      <c r="B18" s="394"/>
      <c r="C18" s="210"/>
      <c r="D18" s="207"/>
      <c r="E18" s="210"/>
      <c r="F18" s="207"/>
      <c r="G18" s="210"/>
      <c r="H18" s="207"/>
      <c r="I18" s="210"/>
      <c r="J18" s="395" t="str">
        <f t="shared" ref="J18:J24" si="2">IF(F18="","",F18-H18)</f>
        <v/>
      </c>
      <c r="K18" s="396"/>
      <c r="L18" s="207"/>
      <c r="M18" s="210"/>
      <c r="N18" s="392" t="str">
        <f t="shared" si="0"/>
        <v/>
      </c>
      <c r="O18" s="393"/>
      <c r="P18" s="392" t="str">
        <f>IF(D18="","",IF(共通条件・結果!$AA$7="８地域","-",IF($D18="　","",IF(OR($D18="外気床",$D18="その他床"),0,IF(OR($D18="屋根",$D18="天井"),J18*L18*0.034)))))</f>
        <v/>
      </c>
      <c r="Q18" s="393"/>
      <c r="R18" s="388" t="str">
        <f t="shared" si="1"/>
        <v/>
      </c>
      <c r="S18" s="389"/>
      <c r="AD18" s="33">
        <f t="shared" ref="AD18:AD24" si="3">IF(D18="　","FALSE",IF(D18="その他床",0.7,1))</f>
        <v>1</v>
      </c>
    </row>
    <row r="19" spans="2:30" ht="20.100000000000001" customHeight="1" x14ac:dyDescent="0.2">
      <c r="B19" s="394"/>
      <c r="C19" s="210"/>
      <c r="D19" s="207"/>
      <c r="E19" s="210"/>
      <c r="F19" s="207"/>
      <c r="G19" s="210"/>
      <c r="H19" s="207"/>
      <c r="I19" s="210"/>
      <c r="J19" s="395" t="str">
        <f t="shared" si="2"/>
        <v/>
      </c>
      <c r="K19" s="396"/>
      <c r="L19" s="207"/>
      <c r="M19" s="210"/>
      <c r="N19" s="392" t="str">
        <f t="shared" si="0"/>
        <v/>
      </c>
      <c r="O19" s="393"/>
      <c r="P19" s="392" t="str">
        <f>IF(D19="","",IF(共通条件・結果!$AA$7="８地域","-",IF($D19="　","",IF(OR($D19="外気床",$D19="その他床"),0,IF(OR($D19="屋根",$D19="天井"),J19*L19*0.034)))))</f>
        <v/>
      </c>
      <c r="Q19" s="393"/>
      <c r="R19" s="388" t="str">
        <f t="shared" si="1"/>
        <v/>
      </c>
      <c r="S19" s="389"/>
      <c r="AD19" s="33">
        <f t="shared" si="3"/>
        <v>1</v>
      </c>
    </row>
    <row r="20" spans="2:30" ht="20.100000000000001" customHeight="1" x14ac:dyDescent="0.2">
      <c r="B20" s="394"/>
      <c r="C20" s="210"/>
      <c r="D20" s="207"/>
      <c r="E20" s="210"/>
      <c r="F20" s="207"/>
      <c r="G20" s="210"/>
      <c r="H20" s="207"/>
      <c r="I20" s="210"/>
      <c r="J20" s="395" t="str">
        <f t="shared" si="2"/>
        <v/>
      </c>
      <c r="K20" s="396"/>
      <c r="L20" s="207"/>
      <c r="M20" s="210"/>
      <c r="N20" s="392" t="str">
        <f t="shared" si="0"/>
        <v/>
      </c>
      <c r="O20" s="393"/>
      <c r="P20" s="392" t="str">
        <f>IF(D20="","",IF(共通条件・結果!$AA$7="８地域","-",IF($D20="　","",IF(OR($D20="外気床",$D20="その他床"),0,IF(OR($D20="屋根",$D20="天井"),J20*L20*0.034)))))</f>
        <v/>
      </c>
      <c r="Q20" s="393"/>
      <c r="R20" s="388" t="str">
        <f t="shared" si="1"/>
        <v/>
      </c>
      <c r="S20" s="389"/>
      <c r="AD20" s="33">
        <f t="shared" si="3"/>
        <v>1</v>
      </c>
    </row>
    <row r="21" spans="2:30" ht="20.100000000000001" customHeight="1" x14ac:dyDescent="0.2">
      <c r="B21" s="394"/>
      <c r="C21" s="210"/>
      <c r="D21" s="207"/>
      <c r="E21" s="210"/>
      <c r="F21" s="207"/>
      <c r="G21" s="210"/>
      <c r="H21" s="207"/>
      <c r="I21" s="210"/>
      <c r="J21" s="395" t="str">
        <f t="shared" si="2"/>
        <v/>
      </c>
      <c r="K21" s="396"/>
      <c r="L21" s="207"/>
      <c r="M21" s="210"/>
      <c r="N21" s="392" t="str">
        <f t="shared" si="0"/>
        <v/>
      </c>
      <c r="O21" s="393"/>
      <c r="P21" s="392" t="str">
        <f>IF(D21="","",IF(共通条件・結果!$AA$7="８地域","-",IF($D21="　","",IF(OR($D21="外気床",$D21="その他床"),0,IF(OR($D21="屋根",$D21="天井"),J21*L21*0.034)))))</f>
        <v/>
      </c>
      <c r="Q21" s="393"/>
      <c r="R21" s="388" t="str">
        <f t="shared" si="1"/>
        <v/>
      </c>
      <c r="S21" s="389"/>
      <c r="AD21" s="33">
        <f t="shared" si="3"/>
        <v>1</v>
      </c>
    </row>
    <row r="22" spans="2:30" ht="20.100000000000001" customHeight="1" x14ac:dyDescent="0.2">
      <c r="B22" s="394"/>
      <c r="C22" s="210"/>
      <c r="D22" s="207"/>
      <c r="E22" s="210"/>
      <c r="F22" s="207"/>
      <c r="G22" s="210"/>
      <c r="H22" s="207"/>
      <c r="I22" s="210"/>
      <c r="J22" s="395" t="str">
        <f t="shared" si="2"/>
        <v/>
      </c>
      <c r="K22" s="396"/>
      <c r="L22" s="207"/>
      <c r="M22" s="210"/>
      <c r="N22" s="392" t="str">
        <f t="shared" si="0"/>
        <v/>
      </c>
      <c r="O22" s="393"/>
      <c r="P22" s="392" t="str">
        <f>IF(D22="","",IF(共通条件・結果!$AA$7="８地域","-",IF($D22="　","",IF(OR($D22="外気床",$D22="その他床"),0,IF(OR($D22="屋根",$D22="天井"),J22*L22*0.034)))))</f>
        <v/>
      </c>
      <c r="Q22" s="393"/>
      <c r="R22" s="388" t="str">
        <f t="shared" si="1"/>
        <v/>
      </c>
      <c r="S22" s="389"/>
      <c r="AD22" s="33">
        <f t="shared" si="3"/>
        <v>1</v>
      </c>
    </row>
    <row r="23" spans="2:30" ht="20.100000000000001" customHeight="1" x14ac:dyDescent="0.2">
      <c r="B23" s="394"/>
      <c r="C23" s="210"/>
      <c r="D23" s="207"/>
      <c r="E23" s="210"/>
      <c r="F23" s="207"/>
      <c r="G23" s="210"/>
      <c r="H23" s="207"/>
      <c r="I23" s="210"/>
      <c r="J23" s="395" t="str">
        <f t="shared" si="2"/>
        <v/>
      </c>
      <c r="K23" s="396"/>
      <c r="L23" s="207"/>
      <c r="M23" s="210"/>
      <c r="N23" s="390" t="str">
        <f t="shared" si="0"/>
        <v/>
      </c>
      <c r="O23" s="391"/>
      <c r="P23" s="392" t="str">
        <f>IF(D23="","",IF(共通条件・結果!$AA$7="８地域","-",IF($D23="　","",IF(OR($D23="外気床",$D23="その他床"),0,IF(OR($D23="屋根",$D23="天井"),J23*L23*0.034)))))</f>
        <v/>
      </c>
      <c r="Q23" s="393"/>
      <c r="R23" s="388" t="str">
        <f t="shared" si="1"/>
        <v/>
      </c>
      <c r="S23" s="389"/>
      <c r="AD23" s="33">
        <f t="shared" si="3"/>
        <v>1</v>
      </c>
    </row>
    <row r="24" spans="2:30" ht="20.100000000000001" customHeight="1" thickBot="1" x14ac:dyDescent="0.25">
      <c r="B24" s="383"/>
      <c r="C24" s="336"/>
      <c r="D24" s="384"/>
      <c r="E24" s="385"/>
      <c r="F24" s="335"/>
      <c r="G24" s="336"/>
      <c r="H24" s="335"/>
      <c r="I24" s="336"/>
      <c r="J24" s="386" t="str">
        <f t="shared" si="2"/>
        <v/>
      </c>
      <c r="K24" s="387"/>
      <c r="L24" s="384"/>
      <c r="M24" s="385"/>
      <c r="N24" s="375" t="str">
        <f t="shared" si="0"/>
        <v/>
      </c>
      <c r="O24" s="376"/>
      <c r="P24" s="375" t="str">
        <f>IF(D24="","",IF(共通条件・結果!$AA$7="８地域","-",IF($D24="　","",IF(OR($D24="外気床",$D24="その他床"),0,IF(OR($D24="屋根",$D24="天井"),J24*L24*0.034)))))</f>
        <v/>
      </c>
      <c r="Q24" s="376"/>
      <c r="R24" s="377" t="str">
        <f t="shared" si="1"/>
        <v/>
      </c>
      <c r="S24" s="378"/>
      <c r="AD24" s="33">
        <f t="shared" si="3"/>
        <v>1</v>
      </c>
    </row>
    <row r="25" spans="2:30" ht="20.100000000000001" customHeight="1" thickBot="1" x14ac:dyDescent="0.25">
      <c r="B25" s="285" t="s">
        <v>138</v>
      </c>
      <c r="C25" s="286"/>
      <c r="D25" s="286"/>
      <c r="E25" s="286"/>
      <c r="F25" s="286"/>
      <c r="G25" s="286"/>
      <c r="H25" s="286"/>
      <c r="I25" s="286"/>
      <c r="J25" s="286"/>
      <c r="K25" s="286"/>
      <c r="L25" s="286"/>
      <c r="M25" s="312"/>
      <c r="N25" s="379">
        <f>SUM(N17:O24)</f>
        <v>0.29386046511627967</v>
      </c>
      <c r="O25" s="380"/>
      <c r="P25" s="379">
        <f>SUM(P17:Q24)</f>
        <v>0.29386046511627967</v>
      </c>
      <c r="Q25" s="380"/>
      <c r="R25" s="381">
        <f>SUM(R17:S24)</f>
        <v>8.6429548563611664</v>
      </c>
      <c r="S25" s="382"/>
    </row>
    <row r="26" spans="2:30" ht="20.100000000000001" customHeight="1" x14ac:dyDescent="0.2">
      <c r="B26" s="2"/>
      <c r="C26" s="2"/>
      <c r="D26" s="2"/>
      <c r="E26" s="2"/>
      <c r="F26" s="2"/>
      <c r="G26" s="2"/>
      <c r="H26" s="2"/>
      <c r="I26" s="2"/>
      <c r="J26" s="2"/>
      <c r="K26" s="2"/>
      <c r="L26" s="2"/>
      <c r="M26" s="2"/>
      <c r="N26" s="2"/>
      <c r="O26" s="2"/>
      <c r="P26" s="2"/>
      <c r="Q26" s="2"/>
    </row>
    <row r="27" spans="2:30" ht="20.100000000000001" customHeight="1" x14ac:dyDescent="0.2">
      <c r="B27" s="2"/>
      <c r="C27" s="2"/>
      <c r="D27" s="2"/>
      <c r="E27" s="2"/>
      <c r="F27" s="2"/>
      <c r="G27" s="2"/>
      <c r="H27" s="2"/>
      <c r="I27" s="2"/>
      <c r="J27" s="2"/>
      <c r="K27" s="2"/>
      <c r="L27" s="2"/>
      <c r="M27" s="2"/>
      <c r="N27" s="2"/>
      <c r="O27" s="2"/>
      <c r="P27" s="2"/>
      <c r="Q27" s="2"/>
    </row>
    <row r="28" spans="2:30" ht="20.100000000000001" customHeight="1" x14ac:dyDescent="0.2">
      <c r="B28" s="68"/>
      <c r="C28" s="6"/>
      <c r="D28" s="6"/>
      <c r="E28" s="6"/>
      <c r="F28" s="6"/>
      <c r="G28" s="6"/>
      <c r="H28" s="6"/>
      <c r="I28" s="6"/>
      <c r="J28" s="6"/>
      <c r="K28" s="6"/>
      <c r="L28" s="6"/>
      <c r="M28" s="6"/>
      <c r="N28" s="6"/>
      <c r="O28" s="6"/>
      <c r="P28" s="6"/>
      <c r="Q28" s="6"/>
      <c r="R28" s="6"/>
      <c r="S28" s="6"/>
      <c r="T28" s="2"/>
      <c r="U28" s="2"/>
      <c r="V28" s="2"/>
      <c r="W28" s="2"/>
      <c r="X28" s="2"/>
      <c r="Y28" s="2"/>
      <c r="Z28" s="2"/>
      <c r="AA28" s="2"/>
      <c r="AB28" s="2"/>
      <c r="AC28" s="2"/>
    </row>
    <row r="29" spans="2:30" ht="20.100000000000001" customHeight="1" thickBot="1" x14ac:dyDescent="0.25">
      <c r="B29" s="4" t="s">
        <v>164</v>
      </c>
      <c r="C29" s="2"/>
      <c r="D29" s="2"/>
      <c r="E29" s="2"/>
      <c r="F29" s="2"/>
      <c r="G29" s="2"/>
      <c r="H29" s="2"/>
      <c r="I29" s="2"/>
      <c r="J29" s="2"/>
      <c r="K29" s="2"/>
      <c r="L29" s="2"/>
      <c r="M29" s="2"/>
      <c r="N29" s="2"/>
      <c r="O29" s="2"/>
      <c r="P29" s="2"/>
      <c r="Q29" s="2"/>
      <c r="R29" s="2"/>
      <c r="S29" s="8"/>
      <c r="T29" s="8"/>
      <c r="U29" s="8"/>
      <c r="V29" s="8"/>
      <c r="W29" s="8"/>
      <c r="X29" s="8"/>
      <c r="Y29" s="8"/>
      <c r="Z29" s="2"/>
      <c r="AA29" s="2"/>
      <c r="AB29" s="2"/>
      <c r="AC29" s="2"/>
    </row>
    <row r="30" spans="2:30" ht="20.100000000000001" customHeight="1" x14ac:dyDescent="0.2">
      <c r="B30" s="366" t="s">
        <v>61</v>
      </c>
      <c r="C30" s="367"/>
      <c r="D30" s="143" t="s">
        <v>56</v>
      </c>
      <c r="E30" s="144"/>
      <c r="F30" s="144"/>
      <c r="G30" s="144"/>
      <c r="H30" s="144"/>
      <c r="I30" s="144"/>
      <c r="J30" s="145"/>
      <c r="K30" s="10"/>
      <c r="L30" s="69"/>
      <c r="M30" s="69"/>
      <c r="N30" s="10"/>
      <c r="O30" s="11"/>
      <c r="P30" s="372">
        <f>T30+Y30</f>
        <v>68.040000000000006</v>
      </c>
      <c r="Q30" s="372"/>
      <c r="R30" s="10" t="s">
        <v>165</v>
      </c>
      <c r="S30" s="11" t="s">
        <v>62</v>
      </c>
      <c r="T30" s="373">
        <f>D7*F7+D8*F8+D9*F9+D10*F10+D11*F11</f>
        <v>0</v>
      </c>
      <c r="U30" s="373"/>
      <c r="V30" s="70" t="s">
        <v>166</v>
      </c>
      <c r="W30" s="172" t="s">
        <v>167</v>
      </c>
      <c r="X30" s="172"/>
      <c r="Y30" s="373">
        <f>SUM(J17:K24)</f>
        <v>68.040000000000006</v>
      </c>
      <c r="Z30" s="373"/>
      <c r="AA30" s="71" t="s">
        <v>168</v>
      </c>
      <c r="AB30" s="6"/>
      <c r="AC30" s="6"/>
    </row>
    <row r="31" spans="2:30" ht="20.100000000000001" customHeight="1" x14ac:dyDescent="0.2">
      <c r="B31" s="368"/>
      <c r="C31" s="369"/>
      <c r="D31" s="136" t="s">
        <v>72</v>
      </c>
      <c r="E31" s="137"/>
      <c r="F31" s="137"/>
      <c r="G31" s="137"/>
      <c r="H31" s="137"/>
      <c r="I31" s="137"/>
      <c r="J31" s="138"/>
      <c r="K31" s="9"/>
      <c r="L31" s="9"/>
      <c r="M31" s="9"/>
      <c r="N31" s="9"/>
      <c r="O31" s="9"/>
      <c r="P31" s="9"/>
      <c r="Q31" s="9"/>
      <c r="R31" s="9"/>
      <c r="S31" s="9"/>
      <c r="T31" s="9"/>
      <c r="U31" s="9"/>
      <c r="V31" s="9"/>
      <c r="W31" s="374">
        <f>N12+N25</f>
        <v>0.29386046511627967</v>
      </c>
      <c r="X31" s="374"/>
      <c r="Y31" s="374"/>
      <c r="Z31" s="72"/>
      <c r="AA31" s="73"/>
      <c r="AB31" s="6"/>
      <c r="AC31" s="6"/>
    </row>
    <row r="32" spans="2:30" ht="20.100000000000001" customHeight="1" x14ac:dyDescent="0.2">
      <c r="B32" s="368"/>
      <c r="C32" s="369"/>
      <c r="D32" s="136" t="s">
        <v>73</v>
      </c>
      <c r="E32" s="137"/>
      <c r="F32" s="137"/>
      <c r="G32" s="137"/>
      <c r="H32" s="137"/>
      <c r="I32" s="137"/>
      <c r="J32" s="138"/>
      <c r="K32" s="9"/>
      <c r="L32" s="9"/>
      <c r="M32" s="9"/>
      <c r="N32" s="9"/>
      <c r="O32" s="9"/>
      <c r="P32" s="9"/>
      <c r="Q32" s="9"/>
      <c r="R32" s="9"/>
      <c r="S32" s="9"/>
      <c r="T32" s="9"/>
      <c r="U32" s="9"/>
      <c r="V32" s="9"/>
      <c r="W32" s="374">
        <f>P12+P25</f>
        <v>0.29386046511627967</v>
      </c>
      <c r="X32" s="374"/>
      <c r="Y32" s="374"/>
      <c r="Z32" s="72"/>
      <c r="AA32" s="73"/>
      <c r="AB32" s="6"/>
      <c r="AC32" s="6"/>
    </row>
    <row r="33" spans="2:29" ht="20.100000000000001" customHeight="1" thickBot="1" x14ac:dyDescent="0.25">
      <c r="B33" s="370"/>
      <c r="C33" s="371"/>
      <c r="D33" s="123" t="s">
        <v>20</v>
      </c>
      <c r="E33" s="124"/>
      <c r="F33" s="124"/>
      <c r="G33" s="124"/>
      <c r="H33" s="124"/>
      <c r="I33" s="124"/>
      <c r="J33" s="125"/>
      <c r="K33" s="8"/>
      <c r="L33" s="8"/>
      <c r="M33" s="8"/>
      <c r="N33" s="8"/>
      <c r="O33" s="8"/>
      <c r="P33" s="8"/>
      <c r="Q33" s="8"/>
      <c r="R33" s="8"/>
      <c r="S33" s="8"/>
      <c r="T33" s="8"/>
      <c r="U33" s="8"/>
      <c r="V33" s="8"/>
      <c r="W33" s="365">
        <f>R12+R25</f>
        <v>8.6429548563611664</v>
      </c>
      <c r="X33" s="365"/>
      <c r="Y33" s="365"/>
      <c r="Z33" s="74" t="s">
        <v>169</v>
      </c>
      <c r="AA33" s="75"/>
      <c r="AB33" s="6"/>
      <c r="AC33" s="6"/>
    </row>
    <row r="34" spans="2:29" ht="20.100000000000001" customHeight="1" x14ac:dyDescent="0.2"/>
    <row r="35" spans="2:29" ht="20.100000000000001" customHeight="1" x14ac:dyDescent="0.2"/>
    <row r="36" spans="2:29" ht="20.100000000000001" customHeight="1" x14ac:dyDescent="0.2"/>
    <row r="37" spans="2:29" ht="20.100000000000001" customHeight="1" x14ac:dyDescent="0.2"/>
    <row r="38" spans="2:29" ht="20.100000000000001" customHeight="1" x14ac:dyDescent="0.2"/>
    <row r="39" spans="2:29" ht="20.100000000000001" customHeight="1" x14ac:dyDescent="0.2"/>
    <row r="40" spans="2:29" ht="20.100000000000001" customHeight="1" x14ac:dyDescent="0.2"/>
    <row r="41" spans="2:29" ht="20.100000000000001" customHeight="1" x14ac:dyDescent="0.2"/>
    <row r="42" spans="2:29" ht="20.100000000000001" customHeight="1" x14ac:dyDescent="0.2"/>
    <row r="43" spans="2:29" ht="20.100000000000001" customHeight="1" x14ac:dyDescent="0.2"/>
    <row r="44" spans="2:29" ht="20.100000000000001" customHeight="1" x14ac:dyDescent="0.2"/>
    <row r="45" spans="2:29" ht="20.100000000000001" customHeight="1" x14ac:dyDescent="0.2"/>
    <row r="46" spans="2:29" ht="20.100000000000001" customHeight="1" x14ac:dyDescent="0.2"/>
    <row r="47" spans="2:29" ht="20.100000000000001" customHeight="1" x14ac:dyDescent="0.2"/>
    <row r="48" spans="2:29"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sheetData>
  <sheetProtection algorithmName="SHA-512" hashValue="aqm9G04pLxsZ9qnIiTzOjtRJQpq6fqCOLsjY24t3dSfXOVQlkoMMidZFYxsnLBEa4fLN1WwdUz8Mt0m5q9+zXg==" saltValue="qOv9k+AVSCRW4+yDttKzBQ==" spinCount="100000" sheet="1" objects="1" scenarios="1" selectLockedCells="1"/>
  <mergeCells count="157">
    <mergeCell ref="B2:AA2"/>
    <mergeCell ref="B5:C6"/>
    <mergeCell ref="D5:G5"/>
    <mergeCell ref="H5:I6"/>
    <mergeCell ref="J5:K6"/>
    <mergeCell ref="L5:M6"/>
    <mergeCell ref="N5:O6"/>
    <mergeCell ref="P5:Q6"/>
    <mergeCell ref="R5:S6"/>
    <mergeCell ref="D6:E6"/>
    <mergeCell ref="F6:G6"/>
    <mergeCell ref="B7:C7"/>
    <mergeCell ref="D7:E7"/>
    <mergeCell ref="F7:G7"/>
    <mergeCell ref="H7:I7"/>
    <mergeCell ref="J7:K7"/>
    <mergeCell ref="L7:M7"/>
    <mergeCell ref="N7:O7"/>
    <mergeCell ref="P7:Q7"/>
    <mergeCell ref="R7:S7"/>
    <mergeCell ref="B8:C8"/>
    <mergeCell ref="D8:E8"/>
    <mergeCell ref="F8:G8"/>
    <mergeCell ref="H8:I8"/>
    <mergeCell ref="J8:K8"/>
    <mergeCell ref="L8:M8"/>
    <mergeCell ref="N8:O8"/>
    <mergeCell ref="P8:Q8"/>
    <mergeCell ref="R8:S8"/>
    <mergeCell ref="B9:C9"/>
    <mergeCell ref="D9:E9"/>
    <mergeCell ref="F9:G9"/>
    <mergeCell ref="H9:I9"/>
    <mergeCell ref="J9:K9"/>
    <mergeCell ref="L9:M9"/>
    <mergeCell ref="N9:O9"/>
    <mergeCell ref="P9:Q9"/>
    <mergeCell ref="R9:S9"/>
    <mergeCell ref="B10:C10"/>
    <mergeCell ref="D10:E10"/>
    <mergeCell ref="F10:G10"/>
    <mergeCell ref="H10:I10"/>
    <mergeCell ref="J10:K10"/>
    <mergeCell ref="L10:M10"/>
    <mergeCell ref="N10:O10"/>
    <mergeCell ref="P10:Q10"/>
    <mergeCell ref="R10:S10"/>
    <mergeCell ref="B11:C11"/>
    <mergeCell ref="D11:E11"/>
    <mergeCell ref="F11:G11"/>
    <mergeCell ref="H11:I11"/>
    <mergeCell ref="J11:K11"/>
    <mergeCell ref="L11:M11"/>
    <mergeCell ref="N11:O11"/>
    <mergeCell ref="P11:Q11"/>
    <mergeCell ref="R11:S11"/>
    <mergeCell ref="B12:M12"/>
    <mergeCell ref="N12:O12"/>
    <mergeCell ref="P12:Q12"/>
    <mergeCell ref="R12:S12"/>
    <mergeCell ref="B15:C16"/>
    <mergeCell ref="D15:E16"/>
    <mergeCell ref="F15:G16"/>
    <mergeCell ref="H15:I16"/>
    <mergeCell ref="J15:K16"/>
    <mergeCell ref="L15:M16"/>
    <mergeCell ref="N15:O16"/>
    <mergeCell ref="P15:Q16"/>
    <mergeCell ref="R15:S16"/>
    <mergeCell ref="B17:C17"/>
    <mergeCell ref="D17:E17"/>
    <mergeCell ref="F17:G17"/>
    <mergeCell ref="H17:I17"/>
    <mergeCell ref="J17:K17"/>
    <mergeCell ref="L17:M17"/>
    <mergeCell ref="N17:O17"/>
    <mergeCell ref="P17:Q17"/>
    <mergeCell ref="R17:S17"/>
    <mergeCell ref="B18:C18"/>
    <mergeCell ref="D18:E18"/>
    <mergeCell ref="F18:G18"/>
    <mergeCell ref="H18:I18"/>
    <mergeCell ref="J18:K18"/>
    <mergeCell ref="L18:M18"/>
    <mergeCell ref="N18:O18"/>
    <mergeCell ref="P18:Q18"/>
    <mergeCell ref="R18:S18"/>
    <mergeCell ref="B19:C19"/>
    <mergeCell ref="D19:E19"/>
    <mergeCell ref="F19:G19"/>
    <mergeCell ref="H19:I19"/>
    <mergeCell ref="J19:K19"/>
    <mergeCell ref="L19:M19"/>
    <mergeCell ref="N19:O19"/>
    <mergeCell ref="P19:Q19"/>
    <mergeCell ref="R19:S19"/>
    <mergeCell ref="B20:C20"/>
    <mergeCell ref="D20:E20"/>
    <mergeCell ref="F20:G20"/>
    <mergeCell ref="H20:I20"/>
    <mergeCell ref="J20:K20"/>
    <mergeCell ref="L20:M20"/>
    <mergeCell ref="N20:O20"/>
    <mergeCell ref="P20:Q20"/>
    <mergeCell ref="R20:S20"/>
    <mergeCell ref="B21:C21"/>
    <mergeCell ref="D21:E21"/>
    <mergeCell ref="F21:G21"/>
    <mergeCell ref="H21:I21"/>
    <mergeCell ref="J21:K21"/>
    <mergeCell ref="L21:M21"/>
    <mergeCell ref="N21:O21"/>
    <mergeCell ref="P21:Q21"/>
    <mergeCell ref="R21:S21"/>
    <mergeCell ref="R22:S22"/>
    <mergeCell ref="N23:O23"/>
    <mergeCell ref="P23:Q23"/>
    <mergeCell ref="R23:S23"/>
    <mergeCell ref="B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4:O24"/>
    <mergeCell ref="P24:Q24"/>
    <mergeCell ref="R24:S24"/>
    <mergeCell ref="B25:M25"/>
    <mergeCell ref="N25:O25"/>
    <mergeCell ref="P25:Q25"/>
    <mergeCell ref="R25:S25"/>
    <mergeCell ref="B24:C24"/>
    <mergeCell ref="D24:E24"/>
    <mergeCell ref="F24:G24"/>
    <mergeCell ref="H24:I24"/>
    <mergeCell ref="J24:K24"/>
    <mergeCell ref="L24:M24"/>
    <mergeCell ref="D33:J33"/>
    <mergeCell ref="W33:Y33"/>
    <mergeCell ref="B30:C33"/>
    <mergeCell ref="D30:J30"/>
    <mergeCell ref="P30:Q30"/>
    <mergeCell ref="T30:U30"/>
    <mergeCell ref="W30:X30"/>
    <mergeCell ref="Y30:Z30"/>
    <mergeCell ref="D31:J31"/>
    <mergeCell ref="W31:Y31"/>
    <mergeCell ref="D32:J32"/>
    <mergeCell ref="W32:Y32"/>
  </mergeCells>
  <phoneticPr fontId="2"/>
  <conditionalFormatting sqref="N12:O12">
    <cfRule type="expression" dxfId="13" priority="12" stopIfTrue="1">
      <formula>$N$12=0</formula>
    </cfRule>
  </conditionalFormatting>
  <conditionalFormatting sqref="N25:O25">
    <cfRule type="expression" dxfId="12" priority="11" stopIfTrue="1">
      <formula>$N$25=0</formula>
    </cfRule>
  </conditionalFormatting>
  <conditionalFormatting sqref="P25:Q25">
    <cfRule type="expression" dxfId="11" priority="10" stopIfTrue="1">
      <formula>$P$25=0</formula>
    </cfRule>
  </conditionalFormatting>
  <conditionalFormatting sqref="R25:S25">
    <cfRule type="expression" dxfId="10" priority="9" stopIfTrue="1">
      <formula>$R$25=0</formula>
    </cfRule>
  </conditionalFormatting>
  <conditionalFormatting sqref="P12:Q12">
    <cfRule type="expression" dxfId="9" priority="8" stopIfTrue="1">
      <formula>$P$12=0</formula>
    </cfRule>
  </conditionalFormatting>
  <conditionalFormatting sqref="R12:S12">
    <cfRule type="expression" dxfId="8" priority="7" stopIfTrue="1">
      <formula>$R$12=0</formula>
    </cfRule>
  </conditionalFormatting>
  <conditionalFormatting sqref="W31:Y31">
    <cfRule type="expression" dxfId="7" priority="6" stopIfTrue="1">
      <formula>$W$31=0</formula>
    </cfRule>
  </conditionalFormatting>
  <conditionalFormatting sqref="W32:Y32">
    <cfRule type="expression" dxfId="6" priority="5" stopIfTrue="1">
      <formula>$W$32=0</formula>
    </cfRule>
  </conditionalFormatting>
  <conditionalFormatting sqref="W33:Y33">
    <cfRule type="expression" dxfId="5" priority="4" stopIfTrue="1">
      <formula>$W$33=0</formula>
    </cfRule>
  </conditionalFormatting>
  <conditionalFormatting sqref="P30:Q30">
    <cfRule type="expression" dxfId="4" priority="3" stopIfTrue="1">
      <formula>$P$30=0</formula>
    </cfRule>
  </conditionalFormatting>
  <conditionalFormatting sqref="T30:U30">
    <cfRule type="expression" dxfId="3" priority="2" stopIfTrue="1">
      <formula>$T$30=0</formula>
    </cfRule>
  </conditionalFormatting>
  <conditionalFormatting sqref="Y30:Z30">
    <cfRule type="expression" dxfId="2" priority="1" stopIfTrue="1">
      <formula>$Y$30=0</formula>
    </cfRule>
  </conditionalFormatting>
  <dataValidations count="2">
    <dataValidation type="list" allowBlank="1" showInputMessage="1" showErrorMessage="1" sqref="L7:M11">
      <formula1>"　,雨戸,ｼｬｯﾀｰ,障子"</formula1>
    </dataValidation>
    <dataValidation type="list" allowBlank="1" showInputMessage="1" showErrorMessage="1" sqref="D17:E24">
      <formula1>"屋根,天井,外気床,その他床"</formula1>
    </dataValidation>
  </dataValidations>
  <printOptions horizontalCentered="1"/>
  <pageMargins left="0.59055118110236227" right="0.39370078740157483" top="0.98425196850393704" bottom="0.78740157480314965" header="0.31496062992125984" footer="0.39370078740157483"/>
  <pageSetup paperSize="9" scale="90" orientation="portrait" horizontalDpi="300" verticalDpi="300" r:id="rId1"/>
  <headerFooter>
    <oddHeader>&amp;Rver. 1.8[H28]</oddHeader>
    <oddFooter>&amp;Cⓒ　2013 hyoukakyoukai.All right reserved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K149"/>
  <sheetViews>
    <sheetView showGridLines="0" view="pageBreakPreview" topLeftCell="A26" zoomScaleNormal="100" zoomScaleSheetLayoutView="100" workbookViewId="0">
      <selection activeCell="P20" sqref="P20:Q20"/>
    </sheetView>
  </sheetViews>
  <sheetFormatPr defaultRowHeight="13.2" x14ac:dyDescent="0.2"/>
  <cols>
    <col min="1" max="1" width="0.77734375" customWidth="1"/>
    <col min="2" max="3" width="4.109375" customWidth="1"/>
    <col min="4" max="29" width="3.6640625" customWidth="1"/>
    <col min="30" max="30" width="3.77734375" customWidth="1"/>
    <col min="31" max="31" width="10.33203125" hidden="1" customWidth="1"/>
    <col min="32" max="32" width="3.33203125" hidden="1" customWidth="1"/>
    <col min="33" max="33" width="14.33203125" hidden="1" customWidth="1"/>
    <col min="34" max="34" width="6" hidden="1" customWidth="1"/>
    <col min="35" max="35" width="13.88671875" hidden="1" customWidth="1"/>
    <col min="36" max="37" width="8.21875" hidden="1" customWidth="1"/>
    <col min="38" max="53" width="3.6640625" customWidth="1"/>
  </cols>
  <sheetData>
    <row r="1" spans="2:29" ht="3.75" customHeight="1" x14ac:dyDescent="0.2"/>
    <row r="2" spans="2:29" ht="30" customHeight="1" x14ac:dyDescent="0.2">
      <c r="B2" s="436" t="s">
        <v>52</v>
      </c>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row>
    <row r="3" spans="2:29" s="3" customFormat="1" ht="20.100000000000001" customHeight="1" x14ac:dyDescent="0.15"/>
    <row r="4" spans="2:29" s="3" customFormat="1" ht="20.100000000000001" customHeight="1" thickBot="1" x14ac:dyDescent="0.2">
      <c r="B4" s="4" t="s">
        <v>160</v>
      </c>
      <c r="C4" s="2"/>
      <c r="D4" s="2"/>
      <c r="E4" s="2"/>
      <c r="F4" s="2"/>
      <c r="G4" s="2"/>
      <c r="H4" s="2"/>
      <c r="I4" s="2"/>
    </row>
    <row r="5" spans="2:29" s="3" customFormat="1" ht="20.100000000000001" customHeight="1" x14ac:dyDescent="0.15">
      <c r="B5" s="411" t="s">
        <v>36</v>
      </c>
      <c r="C5" s="412"/>
      <c r="D5" s="416" t="s">
        <v>37</v>
      </c>
      <c r="E5" s="416"/>
      <c r="F5" s="416"/>
      <c r="G5" s="103"/>
      <c r="H5" s="421" t="s">
        <v>60</v>
      </c>
      <c r="I5" s="500"/>
    </row>
    <row r="6" spans="2:29" s="3" customFormat="1" ht="20.100000000000001" customHeight="1" thickBot="1" x14ac:dyDescent="0.2">
      <c r="B6" s="413"/>
      <c r="C6" s="414"/>
      <c r="D6" s="417"/>
      <c r="E6" s="417"/>
      <c r="F6" s="417"/>
      <c r="G6" s="474"/>
      <c r="H6" s="422"/>
      <c r="I6" s="501"/>
    </row>
    <row r="7" spans="2:29" s="3" customFormat="1" ht="20.100000000000001" customHeight="1" x14ac:dyDescent="0.15">
      <c r="B7" s="502" t="s">
        <v>259</v>
      </c>
      <c r="C7" s="503"/>
      <c r="D7" s="495" t="s">
        <v>260</v>
      </c>
      <c r="E7" s="495"/>
      <c r="F7" s="495"/>
      <c r="G7" s="495"/>
      <c r="H7" s="503">
        <f>6.3*10.8</f>
        <v>68.040000000000006</v>
      </c>
      <c r="I7" s="504"/>
    </row>
    <row r="8" spans="2:29" s="3" customFormat="1" ht="20.100000000000001" customHeight="1" x14ac:dyDescent="0.15">
      <c r="B8" s="493"/>
      <c r="C8" s="494"/>
      <c r="D8" s="495"/>
      <c r="E8" s="495"/>
      <c r="F8" s="495"/>
      <c r="G8" s="495"/>
      <c r="H8" s="494"/>
      <c r="I8" s="496"/>
    </row>
    <row r="9" spans="2:29" s="3" customFormat="1" ht="20.100000000000001" customHeight="1" x14ac:dyDescent="0.15">
      <c r="B9" s="493"/>
      <c r="C9" s="494"/>
      <c r="D9" s="495"/>
      <c r="E9" s="495"/>
      <c r="F9" s="495"/>
      <c r="G9" s="495"/>
      <c r="H9" s="494"/>
      <c r="I9" s="496"/>
    </row>
    <row r="10" spans="2:29" s="3" customFormat="1" ht="20.100000000000001" customHeight="1" x14ac:dyDescent="0.15">
      <c r="B10" s="493"/>
      <c r="C10" s="494"/>
      <c r="D10" s="495"/>
      <c r="E10" s="495"/>
      <c r="F10" s="495"/>
      <c r="G10" s="495"/>
      <c r="H10" s="494"/>
      <c r="I10" s="496"/>
    </row>
    <row r="11" spans="2:29" s="3" customFormat="1" ht="20.100000000000001" customHeight="1" thickBot="1" x14ac:dyDescent="0.2">
      <c r="B11" s="497"/>
      <c r="C11" s="498"/>
      <c r="D11" s="498"/>
      <c r="E11" s="498"/>
      <c r="F11" s="498"/>
      <c r="G11" s="498"/>
      <c r="H11" s="498"/>
      <c r="I11" s="499"/>
    </row>
    <row r="12" spans="2:29" s="3" customFormat="1" ht="20.100000000000001" customHeight="1" thickBot="1" x14ac:dyDescent="0.2">
      <c r="B12" s="491" t="s">
        <v>63</v>
      </c>
      <c r="C12" s="492"/>
      <c r="D12" s="492"/>
      <c r="E12" s="492"/>
      <c r="F12" s="492"/>
      <c r="G12" s="492"/>
      <c r="H12" s="381">
        <f>SUM(H7:I11)</f>
        <v>68.040000000000006</v>
      </c>
      <c r="I12" s="382"/>
    </row>
    <row r="13" spans="2:29" s="3" customFormat="1" ht="20.100000000000001" customHeight="1" x14ac:dyDescent="0.15">
      <c r="B13" s="2" t="s">
        <v>161</v>
      </c>
      <c r="C13" s="66"/>
      <c r="D13" s="66"/>
      <c r="E13" s="66"/>
      <c r="F13" s="66"/>
      <c r="G13" s="66"/>
      <c r="H13" s="67"/>
      <c r="I13" s="67"/>
    </row>
    <row r="14" spans="2:29" s="3" customFormat="1" ht="20.100000000000001" customHeight="1" x14ac:dyDescent="0.15">
      <c r="B14" s="2" t="s">
        <v>93</v>
      </c>
      <c r="C14" s="66"/>
      <c r="D14" s="66"/>
      <c r="E14" s="66"/>
      <c r="F14" s="66"/>
      <c r="G14" s="66"/>
      <c r="H14" s="67"/>
      <c r="I14" s="67"/>
    </row>
    <row r="15" spans="2:29" s="3" customFormat="1" ht="20.100000000000001" customHeight="1" x14ac:dyDescent="0.15">
      <c r="B15" s="66"/>
      <c r="C15" s="66"/>
      <c r="D15" s="66"/>
      <c r="E15" s="66"/>
      <c r="F15" s="66"/>
      <c r="G15" s="66"/>
      <c r="H15" s="67"/>
      <c r="I15" s="67"/>
    </row>
    <row r="16" spans="2:29" s="3" customFormat="1" ht="20.100000000000001" customHeight="1" thickBot="1" x14ac:dyDescent="0.2">
      <c r="B16" s="4" t="s">
        <v>162</v>
      </c>
    </row>
    <row r="17" spans="2:37" s="3" customFormat="1" ht="20.100000000000001" customHeight="1" x14ac:dyDescent="0.15">
      <c r="B17" s="437" t="s">
        <v>36</v>
      </c>
      <c r="C17" s="416"/>
      <c r="D17" s="416" t="s">
        <v>37</v>
      </c>
      <c r="E17" s="416"/>
      <c r="F17" s="416"/>
      <c r="G17" s="416"/>
      <c r="H17" s="471" t="s">
        <v>38</v>
      </c>
      <c r="I17" s="472"/>
      <c r="J17" s="471" t="s">
        <v>39</v>
      </c>
      <c r="K17" s="472"/>
      <c r="L17" s="471" t="s">
        <v>40</v>
      </c>
      <c r="M17" s="472"/>
      <c r="N17" s="471" t="s">
        <v>41</v>
      </c>
      <c r="O17" s="472"/>
      <c r="P17" s="471" t="s">
        <v>42</v>
      </c>
      <c r="Q17" s="471"/>
      <c r="R17" s="471" t="s">
        <v>43</v>
      </c>
      <c r="S17" s="471"/>
      <c r="T17" s="471" t="s">
        <v>44</v>
      </c>
      <c r="U17" s="472"/>
      <c r="V17" s="471" t="s">
        <v>45</v>
      </c>
      <c r="W17" s="472"/>
      <c r="X17" s="471" t="s">
        <v>46</v>
      </c>
      <c r="Y17" s="472"/>
      <c r="Z17" s="471" t="s">
        <v>47</v>
      </c>
      <c r="AA17" s="472"/>
      <c r="AB17" s="416" t="s">
        <v>7</v>
      </c>
      <c r="AC17" s="427"/>
      <c r="AG17" s="485" t="s">
        <v>7</v>
      </c>
      <c r="AH17" s="485"/>
      <c r="AI17" s="485"/>
      <c r="AJ17" s="485"/>
      <c r="AK17" s="485"/>
    </row>
    <row r="18" spans="2:37" s="3" customFormat="1" ht="20.100000000000001" customHeight="1" thickBot="1" x14ac:dyDescent="0.2">
      <c r="B18" s="438"/>
      <c r="C18" s="417"/>
      <c r="D18" s="417"/>
      <c r="E18" s="417"/>
      <c r="F18" s="417"/>
      <c r="G18" s="417"/>
      <c r="H18" s="473"/>
      <c r="I18" s="473"/>
      <c r="J18" s="473"/>
      <c r="K18" s="473"/>
      <c r="L18" s="473"/>
      <c r="M18" s="473"/>
      <c r="N18" s="473"/>
      <c r="O18" s="473"/>
      <c r="P18" s="484"/>
      <c r="Q18" s="484"/>
      <c r="R18" s="484"/>
      <c r="S18" s="484"/>
      <c r="T18" s="473"/>
      <c r="U18" s="473"/>
      <c r="V18" s="473"/>
      <c r="W18" s="473"/>
      <c r="X18" s="473"/>
      <c r="Y18" s="473"/>
      <c r="Z18" s="473"/>
      <c r="AA18" s="473"/>
      <c r="AB18" s="417"/>
      <c r="AC18" s="428"/>
      <c r="AE18" s="25" t="s">
        <v>80</v>
      </c>
      <c r="AG18" s="90" t="s">
        <v>207</v>
      </c>
      <c r="AH18" s="91" t="s">
        <v>81</v>
      </c>
      <c r="AI18" s="90" t="s">
        <v>194</v>
      </c>
      <c r="AJ18" s="90" t="s">
        <v>208</v>
      </c>
      <c r="AK18" s="90" t="s">
        <v>209</v>
      </c>
    </row>
    <row r="19" spans="2:37" s="2" customFormat="1" ht="20.100000000000001" customHeight="1" x14ac:dyDescent="0.2">
      <c r="B19" s="486" t="str">
        <f>IF(B7="","",B7)</f>
        <v>F1</v>
      </c>
      <c r="C19" s="487"/>
      <c r="D19" s="488" t="str">
        <f>IF(D7="","",D7)</f>
        <v>基礎断熱</v>
      </c>
      <c r="E19" s="488"/>
      <c r="F19" s="488"/>
      <c r="G19" s="488"/>
      <c r="H19" s="267">
        <f>0.1/0.028</f>
        <v>3.5714285714285716</v>
      </c>
      <c r="I19" s="267"/>
      <c r="J19" s="267">
        <v>0</v>
      </c>
      <c r="K19" s="267"/>
      <c r="L19" s="267">
        <v>0</v>
      </c>
      <c r="M19" s="267"/>
      <c r="N19" s="267">
        <v>0</v>
      </c>
      <c r="O19" s="267"/>
      <c r="P19" s="267">
        <v>0.4</v>
      </c>
      <c r="Q19" s="267"/>
      <c r="R19" s="267">
        <v>-0.6</v>
      </c>
      <c r="S19" s="267"/>
      <c r="T19" s="267">
        <v>0</v>
      </c>
      <c r="U19" s="267"/>
      <c r="V19" s="267">
        <v>0</v>
      </c>
      <c r="W19" s="267"/>
      <c r="X19" s="267">
        <v>0</v>
      </c>
      <c r="Y19" s="267"/>
      <c r="Z19" s="489" t="str">
        <f>IF(R19="","",IF(-1&lt;=R19,"(11)",IF(H19+N19&gt;=3,"(13)1","(13)2")))</f>
        <v>(11)</v>
      </c>
      <c r="AA19" s="489"/>
      <c r="AB19" s="434">
        <f>IF(R19="","",IF(IF(Z19="(11)",AG19,AI19)&lt;0.05,"0.05",IF(Z19="(11)",AG19,AI19)))</f>
        <v>0.3652567098330981</v>
      </c>
      <c r="AC19" s="490"/>
      <c r="AE19" s="2">
        <f>IF(P19&gt;0.4,"0.4",P19)</f>
        <v>0.4</v>
      </c>
      <c r="AG19" s="2">
        <f>1.8-1.36*(H19*(AE19+T19)+N19*(AE19-R19))^0.15-0.01*(6.14-H19)*((J19+0.5*L19)*AH19)^0.5</f>
        <v>0.3652567098330981</v>
      </c>
      <c r="AH19" s="2">
        <f>IF(MAX(V19,X19)&lt;=0.9,MAX(V19,X19),"0.9")</f>
        <v>0</v>
      </c>
      <c r="AI19" s="2">
        <f>IF((H19+N19)&gt;=3,AJ19,AK19)</f>
        <v>0.17241120157620515</v>
      </c>
      <c r="AJ19" s="2">
        <f>1.8-1.47*(H19+N19)^0.08</f>
        <v>0.17241120157620515</v>
      </c>
      <c r="AK19" s="2">
        <f>1.8-1.36*(H19+N19)^0.15</f>
        <v>0.15386592970832158</v>
      </c>
    </row>
    <row r="20" spans="2:37" s="2" customFormat="1" ht="20.100000000000001" customHeight="1" x14ac:dyDescent="0.2">
      <c r="B20" s="475" t="str">
        <f>IF(B8="","",B8)</f>
        <v/>
      </c>
      <c r="C20" s="476"/>
      <c r="D20" s="477" t="str">
        <f>IF(D8="","",D8)</f>
        <v/>
      </c>
      <c r="E20" s="477"/>
      <c r="F20" s="477"/>
      <c r="G20" s="477"/>
      <c r="H20" s="190"/>
      <c r="I20" s="190"/>
      <c r="J20" s="190"/>
      <c r="K20" s="190"/>
      <c r="L20" s="190"/>
      <c r="M20" s="190"/>
      <c r="N20" s="190"/>
      <c r="O20" s="190"/>
      <c r="P20" s="190"/>
      <c r="Q20" s="190"/>
      <c r="R20" s="190"/>
      <c r="S20" s="190"/>
      <c r="T20" s="190"/>
      <c r="U20" s="190"/>
      <c r="V20" s="190"/>
      <c r="W20" s="190"/>
      <c r="X20" s="190"/>
      <c r="Y20" s="190"/>
      <c r="Z20" s="479" t="str">
        <f>IF(R20="","",IF(-1&lt;=R20,"(11)",IF(H20+N20&gt;=3,"(13)1","(13)2")))</f>
        <v/>
      </c>
      <c r="AA20" s="479"/>
      <c r="AB20" s="388" t="str">
        <f>IF(R20="","",IF(IF(Z20="(11)",AG20,AI20)&lt;0.05,"0.05",IF(Z20="(11)",AG20,AI20)))</f>
        <v/>
      </c>
      <c r="AC20" s="389"/>
      <c r="AE20" s="2">
        <f>IF(P20&gt;0.4,"0.4",P20)</f>
        <v>0</v>
      </c>
      <c r="AG20" s="2">
        <f>1.8-1.36*(H20*(AE20+T20)+N20*(AE20-R20))^0.15-0.01*(6.14-H20)*((J20+0.5*L20)*AH20)^0.5</f>
        <v>1.8</v>
      </c>
      <c r="AH20" s="2">
        <f>IF(MAX(V20,X20)&lt;=0.9,MAX(V20,X20),"0.9")</f>
        <v>0</v>
      </c>
      <c r="AI20" s="2">
        <f>IF((H20+N20)&gt;=3,AJ20,AK20)</f>
        <v>1.8</v>
      </c>
      <c r="AJ20" s="2">
        <f>1.8-1.47*(H20+N20)^0.08</f>
        <v>1.8</v>
      </c>
      <c r="AK20" s="2">
        <f>1.8-1.36*(H20+N20)^0.15</f>
        <v>1.8</v>
      </c>
    </row>
    <row r="21" spans="2:37" s="2" customFormat="1" ht="20.100000000000001" customHeight="1" x14ac:dyDescent="0.2">
      <c r="B21" s="475" t="str">
        <f>IF(B9="","",B9)</f>
        <v/>
      </c>
      <c r="C21" s="476"/>
      <c r="D21" s="477" t="str">
        <f>IF(D9="","",D9)</f>
        <v/>
      </c>
      <c r="E21" s="477"/>
      <c r="F21" s="477"/>
      <c r="G21" s="477"/>
      <c r="H21" s="190"/>
      <c r="I21" s="190"/>
      <c r="J21" s="190"/>
      <c r="K21" s="190"/>
      <c r="L21" s="190"/>
      <c r="M21" s="190"/>
      <c r="N21" s="190"/>
      <c r="O21" s="190"/>
      <c r="P21" s="190"/>
      <c r="Q21" s="190"/>
      <c r="R21" s="190"/>
      <c r="S21" s="190"/>
      <c r="T21" s="190"/>
      <c r="U21" s="190"/>
      <c r="V21" s="190"/>
      <c r="W21" s="190"/>
      <c r="X21" s="190"/>
      <c r="Y21" s="190"/>
      <c r="Z21" s="479" t="str">
        <f>IF(R21="","",IF(-1&lt;=R21,"(11)",IF(H21+N21&gt;=3,"(13)1","(13)2")))</f>
        <v/>
      </c>
      <c r="AA21" s="479"/>
      <c r="AB21" s="388" t="str">
        <f>IF(R21="","",IF(IF(Z21="(11)",AG21,AI21)&lt;0.05,"0.05",IF(Z21="(11)",AG21,AI21)))</f>
        <v/>
      </c>
      <c r="AC21" s="389"/>
      <c r="AE21" s="2">
        <f>IF(P21&gt;0.4,"0.4",P21)</f>
        <v>0</v>
      </c>
      <c r="AG21" s="2">
        <f>1.8-1.36*(H21*(AE21+T21)+N21*(AE21-R21))^0.15-0.01*(6.14-H21)*((J21+0.5*L21)*AH21)^0.5</f>
        <v>1.8</v>
      </c>
      <c r="AH21" s="2">
        <f>IF(MAX(V21,X21)&lt;=0.9,MAX(V21,X21),"0.9")</f>
        <v>0</v>
      </c>
      <c r="AI21" s="2">
        <f>IF((H21+N21)&gt;=3,AJ21,AK21)</f>
        <v>1.8</v>
      </c>
      <c r="AJ21" s="2">
        <f>1.8-1.47*(H21+N21)^0.08</f>
        <v>1.8</v>
      </c>
      <c r="AK21" s="2">
        <f>1.8-1.36*(H21+N21)^0.15</f>
        <v>1.8</v>
      </c>
    </row>
    <row r="22" spans="2:37" s="2" customFormat="1" ht="20.100000000000001" customHeight="1" x14ac:dyDescent="0.2">
      <c r="B22" s="475" t="str">
        <f>IF(B10="","",B10)</f>
        <v/>
      </c>
      <c r="C22" s="476"/>
      <c r="D22" s="477" t="str">
        <f>IF(D10="","",D10)</f>
        <v/>
      </c>
      <c r="E22" s="477"/>
      <c r="F22" s="477"/>
      <c r="G22" s="477"/>
      <c r="H22" s="190"/>
      <c r="I22" s="190"/>
      <c r="J22" s="190"/>
      <c r="K22" s="190"/>
      <c r="L22" s="190"/>
      <c r="M22" s="190"/>
      <c r="N22" s="190"/>
      <c r="O22" s="190"/>
      <c r="P22" s="190"/>
      <c r="Q22" s="190"/>
      <c r="R22" s="190"/>
      <c r="S22" s="190"/>
      <c r="T22" s="190"/>
      <c r="U22" s="190"/>
      <c r="V22" s="190"/>
      <c r="W22" s="190"/>
      <c r="X22" s="190"/>
      <c r="Y22" s="190"/>
      <c r="Z22" s="479" t="str">
        <f>IF(R22="","",IF(-1&lt;=R22,"(11)",IF(H22+N22&gt;=3,"(13)1","(13)2")))</f>
        <v/>
      </c>
      <c r="AA22" s="479"/>
      <c r="AB22" s="388" t="str">
        <f>IF(R22="","",IF(IF(Z22="(11)",AG22,AI22)&lt;0.05,"0.05",IF(Z22="(11)",AG22,AI22)))</f>
        <v/>
      </c>
      <c r="AC22" s="389"/>
      <c r="AE22" s="2">
        <f>IF(P22&gt;0.4,"0.4",P22)</f>
        <v>0</v>
      </c>
      <c r="AG22" s="2">
        <f>1.8-1.36*(H22*(AE22+T22)+N22*(AE22-R22))^0.15-0.01*(6.14-H22)*((J22+0.5*L22)*AH22)^0.5</f>
        <v>1.8</v>
      </c>
      <c r="AH22" s="2">
        <f>IF(MAX(V22,X22)&lt;=0.9,MAX(V22,X22),"0.9")</f>
        <v>0</v>
      </c>
      <c r="AI22" s="2">
        <f>IF((H22+N22)&gt;=3,AJ22,AK22)</f>
        <v>1.8</v>
      </c>
      <c r="AJ22" s="2">
        <f>1.8-1.47*(H22+N22)^0.08</f>
        <v>1.8</v>
      </c>
      <c r="AK22" s="2">
        <f>1.8-1.36*(H22+N22)^0.15</f>
        <v>1.8</v>
      </c>
    </row>
    <row r="23" spans="2:37" s="2" customFormat="1" ht="20.100000000000001" customHeight="1" thickBot="1" x14ac:dyDescent="0.25">
      <c r="B23" s="480" t="str">
        <f>IF(B11="","",B11)</f>
        <v/>
      </c>
      <c r="C23" s="481"/>
      <c r="D23" s="482" t="str">
        <f>IF(D11="","",D11)</f>
        <v/>
      </c>
      <c r="E23" s="482"/>
      <c r="F23" s="482"/>
      <c r="G23" s="482"/>
      <c r="H23" s="279"/>
      <c r="I23" s="279"/>
      <c r="J23" s="279"/>
      <c r="K23" s="279"/>
      <c r="L23" s="279"/>
      <c r="M23" s="279"/>
      <c r="N23" s="279"/>
      <c r="O23" s="279"/>
      <c r="P23" s="279"/>
      <c r="Q23" s="279"/>
      <c r="R23" s="279"/>
      <c r="S23" s="279"/>
      <c r="T23" s="279"/>
      <c r="U23" s="279"/>
      <c r="V23" s="279"/>
      <c r="W23" s="279"/>
      <c r="X23" s="279"/>
      <c r="Y23" s="279"/>
      <c r="Z23" s="478" t="str">
        <f>IF(R23="","",IF(-1&lt;=R23,"(11)",IF(H23+N23&gt;=3,"(13)1","(13)2")))</f>
        <v/>
      </c>
      <c r="AA23" s="478"/>
      <c r="AB23" s="431" t="str">
        <f>IF(R23="","",IF(IF(Z23="(11)",AG23,AI23)&lt;0.05,"0.05",IF(Z23="(11)",AG23,AI23)))</f>
        <v/>
      </c>
      <c r="AC23" s="483"/>
      <c r="AE23" s="2">
        <f>IF(P23&gt;0.4,"0.4",P23)</f>
        <v>0</v>
      </c>
      <c r="AG23" s="2">
        <f>1.8-1.36*(H23*(AE23+T23)+N23*(AE23-R23))^0.15-0.01*(6.14-H23)*((J23+0.5*L23)*AH23)^0.5</f>
        <v>1.8</v>
      </c>
      <c r="AH23" s="2">
        <f>IF(MAX(V23,X23)&lt;=0.9,MAX(V23,X23),"0.9")</f>
        <v>0</v>
      </c>
      <c r="AI23" s="2">
        <f>IF((H23+N23)&gt;=3,AJ23,AK23)</f>
        <v>1.8</v>
      </c>
      <c r="AJ23" s="2">
        <f>1.8-1.47*(H23+N23)^0.08</f>
        <v>1.8</v>
      </c>
      <c r="AK23" s="2">
        <f>1.8-1.36*(H23+N23)^0.15</f>
        <v>1.8</v>
      </c>
    </row>
    <row r="24" spans="2:37" s="2" customFormat="1" ht="20.100000000000001" customHeight="1" x14ac:dyDescent="0.2">
      <c r="B24" s="2" t="s">
        <v>48</v>
      </c>
    </row>
    <row r="25" spans="2:37" s="2" customFormat="1" ht="20.100000000000001" customHeight="1" x14ac:dyDescent="0.2">
      <c r="B25" s="2" t="s">
        <v>49</v>
      </c>
    </row>
    <row r="26" spans="2:37" s="2" customFormat="1" ht="20.100000000000001" customHeight="1" x14ac:dyDescent="0.2"/>
    <row r="27" spans="2:37" s="2" customFormat="1" ht="20.100000000000001" customHeight="1" thickBot="1" x14ac:dyDescent="0.25">
      <c r="B27" s="4" t="s">
        <v>163</v>
      </c>
    </row>
    <row r="28" spans="2:37" s="2" customFormat="1" ht="20.100000000000001" customHeight="1" x14ac:dyDescent="0.2">
      <c r="B28" s="437" t="s">
        <v>36</v>
      </c>
      <c r="C28" s="416"/>
      <c r="D28" s="416" t="s">
        <v>37</v>
      </c>
      <c r="E28" s="416"/>
      <c r="F28" s="416"/>
      <c r="G28" s="416"/>
      <c r="H28" s="471" t="s">
        <v>50</v>
      </c>
      <c r="I28" s="472"/>
      <c r="J28" s="415" t="s">
        <v>51</v>
      </c>
      <c r="K28" s="103"/>
      <c r="L28" s="416" t="s">
        <v>13</v>
      </c>
      <c r="M28" s="427"/>
    </row>
    <row r="29" spans="2:37" s="2" customFormat="1" ht="20.100000000000001" customHeight="1" thickBot="1" x14ac:dyDescent="0.25">
      <c r="B29" s="438"/>
      <c r="C29" s="417"/>
      <c r="D29" s="417"/>
      <c r="E29" s="417"/>
      <c r="F29" s="417"/>
      <c r="G29" s="417"/>
      <c r="H29" s="473"/>
      <c r="I29" s="473"/>
      <c r="J29" s="417"/>
      <c r="K29" s="474"/>
      <c r="L29" s="417"/>
      <c r="M29" s="428"/>
    </row>
    <row r="30" spans="2:37" s="2" customFormat="1" ht="20.100000000000001" customHeight="1" x14ac:dyDescent="0.2">
      <c r="B30" s="463" t="str">
        <f>IF(B7="","",B7)</f>
        <v>F1</v>
      </c>
      <c r="C30" s="464"/>
      <c r="D30" s="465" t="str">
        <f>IF(D7="","",D7)</f>
        <v>基礎断熱</v>
      </c>
      <c r="E30" s="466"/>
      <c r="F30" s="466"/>
      <c r="G30" s="464"/>
      <c r="H30" s="467">
        <f>(6.3+10.8)*2</f>
        <v>34.200000000000003</v>
      </c>
      <c r="I30" s="468"/>
      <c r="J30" s="469">
        <v>1</v>
      </c>
      <c r="K30" s="469"/>
      <c r="L30" s="402">
        <f>IF(H30="","",AB19*H30*J30)</f>
        <v>12.491779476291956</v>
      </c>
      <c r="M30" s="470"/>
    </row>
    <row r="31" spans="2:37" s="2" customFormat="1" ht="20.100000000000001" customHeight="1" x14ac:dyDescent="0.2">
      <c r="B31" s="461" t="str">
        <f>IF(B8="","",B8)</f>
        <v/>
      </c>
      <c r="C31" s="462"/>
      <c r="D31" s="447" t="str">
        <f>IF(D8="","",D8)</f>
        <v/>
      </c>
      <c r="E31" s="448"/>
      <c r="F31" s="448"/>
      <c r="G31" s="446"/>
      <c r="H31" s="187"/>
      <c r="I31" s="189"/>
      <c r="J31" s="449"/>
      <c r="K31" s="449"/>
      <c r="L31" s="392" t="str">
        <f>IF(H31="","",AB20*H31*J31)</f>
        <v/>
      </c>
      <c r="M31" s="450"/>
    </row>
    <row r="32" spans="2:37" s="2" customFormat="1" ht="20.100000000000001" customHeight="1" x14ac:dyDescent="0.2">
      <c r="B32" s="445" t="str">
        <f>IF(B9="","",B9)</f>
        <v/>
      </c>
      <c r="C32" s="446"/>
      <c r="D32" s="447" t="str">
        <f>IF(D9="","",D9)</f>
        <v/>
      </c>
      <c r="E32" s="448"/>
      <c r="F32" s="448"/>
      <c r="G32" s="446"/>
      <c r="H32" s="187"/>
      <c r="I32" s="189"/>
      <c r="J32" s="449"/>
      <c r="K32" s="449"/>
      <c r="L32" s="392" t="str">
        <f>IF(H32="","",AB21*H32*J32)</f>
        <v/>
      </c>
      <c r="M32" s="450"/>
    </row>
    <row r="33" spans="2:25" s="2" customFormat="1" ht="20.100000000000001" customHeight="1" x14ac:dyDescent="0.2">
      <c r="B33" s="445" t="str">
        <f>IF(B10="","",B10)</f>
        <v/>
      </c>
      <c r="C33" s="446"/>
      <c r="D33" s="447" t="str">
        <f>IF(D10="","",D10)</f>
        <v/>
      </c>
      <c r="E33" s="448"/>
      <c r="F33" s="448"/>
      <c r="G33" s="446"/>
      <c r="H33" s="187"/>
      <c r="I33" s="189"/>
      <c r="J33" s="449"/>
      <c r="K33" s="449"/>
      <c r="L33" s="392" t="str">
        <f>IF(H33="","",AB22*H33*J33)</f>
        <v/>
      </c>
      <c r="M33" s="450"/>
    </row>
    <row r="34" spans="2:25" s="2" customFormat="1" ht="20.100000000000001" customHeight="1" thickBot="1" x14ac:dyDescent="0.25">
      <c r="B34" s="451" t="str">
        <f>IF(B11="","",B11)</f>
        <v/>
      </c>
      <c r="C34" s="452"/>
      <c r="D34" s="453" t="str">
        <f>IF(D11="","",D11)</f>
        <v/>
      </c>
      <c r="E34" s="454"/>
      <c r="F34" s="454"/>
      <c r="G34" s="452"/>
      <c r="H34" s="455"/>
      <c r="I34" s="456"/>
      <c r="J34" s="457"/>
      <c r="K34" s="458"/>
      <c r="L34" s="459" t="str">
        <f>IF(H34="","",AB23*H34*J34)</f>
        <v/>
      </c>
      <c r="M34" s="460"/>
    </row>
    <row r="35" spans="2:25" s="2" customFormat="1" ht="20.100000000000001" customHeight="1" thickBot="1" x14ac:dyDescent="0.25">
      <c r="B35" s="442" t="s">
        <v>90</v>
      </c>
      <c r="C35" s="443"/>
      <c r="D35" s="443"/>
      <c r="E35" s="443"/>
      <c r="F35" s="443"/>
      <c r="G35" s="443"/>
      <c r="H35" s="443"/>
      <c r="I35" s="443"/>
      <c r="J35" s="443"/>
      <c r="K35" s="443"/>
      <c r="L35" s="379">
        <f>SUM(L30:M34)</f>
        <v>12.491779476291956</v>
      </c>
      <c r="M35" s="444"/>
    </row>
    <row r="36" spans="2:25" s="2" customFormat="1" ht="20.100000000000001" customHeight="1" x14ac:dyDescent="0.2"/>
    <row r="37" spans="2:25" s="2" customFormat="1" ht="20.100000000000001" customHeight="1" x14ac:dyDescent="0.2"/>
    <row r="38" spans="2:25" s="3" customFormat="1" ht="20.100000000000001" customHeight="1" x14ac:dyDescent="0.15"/>
    <row r="39" spans="2:25" s="3" customFormat="1" ht="20.100000000000001" customHeight="1" x14ac:dyDescent="0.15">
      <c r="Y39" s="2"/>
    </row>
    <row r="40" spans="2:25" s="3" customFormat="1" ht="20.100000000000001" customHeight="1" x14ac:dyDescent="0.15">
      <c r="Y40" s="2"/>
    </row>
    <row r="41" spans="2:25" s="3" customFormat="1" ht="20.100000000000001" customHeight="1" x14ac:dyDescent="0.15"/>
    <row r="42" spans="2:25" s="3" customFormat="1" ht="20.100000000000001" customHeight="1" x14ac:dyDescent="0.15"/>
    <row r="43" spans="2:25" s="3" customFormat="1" ht="20.100000000000001" customHeight="1" x14ac:dyDescent="0.15"/>
    <row r="44" spans="2:25" s="3" customFormat="1" ht="20.100000000000001" customHeight="1" x14ac:dyDescent="0.15"/>
    <row r="45" spans="2:25" s="3" customFormat="1" ht="20.100000000000001" customHeight="1" x14ac:dyDescent="0.15"/>
    <row r="46" spans="2:25" s="3" customFormat="1" ht="20.100000000000001" customHeight="1" x14ac:dyDescent="0.15"/>
    <row r="47" spans="2:25" s="3" customFormat="1" ht="20.100000000000001" customHeight="1" x14ac:dyDescent="0.15"/>
    <row r="48" spans="2:25" s="3" customFormat="1" ht="20.100000000000001" customHeight="1" x14ac:dyDescent="0.15"/>
    <row r="49" s="3" customFormat="1" ht="20.100000000000001" customHeight="1" x14ac:dyDescent="0.15"/>
    <row r="50" s="3" customFormat="1" ht="20.100000000000001" customHeight="1" x14ac:dyDescent="0.15"/>
    <row r="51" s="3" customFormat="1" ht="20.100000000000001" customHeight="1" x14ac:dyDescent="0.15"/>
    <row r="52" s="3" customFormat="1" ht="20.100000000000001" customHeight="1" x14ac:dyDescent="0.15"/>
    <row r="53" s="3" customFormat="1" ht="20.100000000000001" customHeight="1" x14ac:dyDescent="0.15"/>
    <row r="54" s="3" customFormat="1" ht="20.100000000000001" customHeight="1" x14ac:dyDescent="0.15"/>
    <row r="55" s="3" customFormat="1" ht="20.100000000000001" customHeight="1" x14ac:dyDescent="0.15"/>
    <row r="56" s="3" customFormat="1" ht="20.100000000000001" customHeight="1" x14ac:dyDescent="0.15"/>
    <row r="57" s="3" customFormat="1" ht="20.100000000000001" customHeight="1" x14ac:dyDescent="0.15"/>
    <row r="58" s="3" customFormat="1" ht="20.100000000000001" customHeight="1" x14ac:dyDescent="0.15"/>
    <row r="59" s="3" customFormat="1" ht="20.100000000000001" customHeight="1" x14ac:dyDescent="0.15"/>
    <row r="60" s="3" customFormat="1" ht="20.100000000000001" customHeight="1" x14ac:dyDescent="0.15"/>
    <row r="61" s="3" customFormat="1" ht="20.100000000000001" customHeight="1" x14ac:dyDescent="0.15"/>
    <row r="62" s="3" customFormat="1" ht="20.100000000000001" customHeight="1" x14ac:dyDescent="0.15"/>
    <row r="63" s="3" customFormat="1" ht="20.100000000000001" customHeight="1" x14ac:dyDescent="0.15"/>
    <row r="64" s="3" customFormat="1" ht="20.100000000000001" customHeight="1" x14ac:dyDescent="0.15"/>
    <row r="65" s="3" customFormat="1" ht="20.100000000000001" customHeight="1" x14ac:dyDescent="0.15"/>
    <row r="66" s="3" customFormat="1" ht="20.100000000000001" customHeight="1" x14ac:dyDescent="0.15"/>
    <row r="67" s="3" customFormat="1" ht="20.100000000000001" customHeight="1" x14ac:dyDescent="0.15"/>
    <row r="68" s="3" customFormat="1" ht="20.100000000000001" customHeight="1" x14ac:dyDescent="0.15"/>
    <row r="69" s="3" customFormat="1" ht="20.100000000000001" customHeight="1" x14ac:dyDescent="0.15"/>
    <row r="70" s="3" customFormat="1" ht="20.100000000000001" customHeight="1" x14ac:dyDescent="0.15"/>
    <row r="71" s="3" customFormat="1" ht="20.100000000000001" customHeight="1" x14ac:dyDescent="0.15"/>
    <row r="72" s="3" customFormat="1" ht="20.100000000000001" customHeight="1" x14ac:dyDescent="0.15"/>
    <row r="73" s="3" customFormat="1" ht="20.100000000000001" customHeight="1" x14ac:dyDescent="0.15"/>
    <row r="74" s="3" customFormat="1" ht="20.100000000000001" customHeight="1" x14ac:dyDescent="0.15"/>
    <row r="75" s="3" customFormat="1" ht="20.100000000000001" customHeight="1" x14ac:dyDescent="0.15"/>
    <row r="76" s="3" customFormat="1" ht="20.100000000000001" customHeight="1" x14ac:dyDescent="0.15"/>
    <row r="77" s="3" customFormat="1" ht="20.100000000000001" customHeight="1" x14ac:dyDescent="0.15"/>
    <row r="78" s="3" customFormat="1" ht="20.100000000000001" customHeight="1" x14ac:dyDescent="0.15"/>
    <row r="79" s="3" customFormat="1" ht="20.100000000000001" customHeight="1" x14ac:dyDescent="0.15"/>
    <row r="80" s="3" customFormat="1" ht="20.100000000000001" customHeight="1" x14ac:dyDescent="0.15"/>
    <row r="81" s="3" customFormat="1" ht="20.100000000000001" customHeight="1" x14ac:dyDescent="0.15"/>
    <row r="82" s="3" customFormat="1" ht="20.100000000000001" customHeight="1" x14ac:dyDescent="0.15"/>
    <row r="83" s="3" customFormat="1" ht="20.100000000000001" customHeight="1" x14ac:dyDescent="0.15"/>
    <row r="84" s="3" customFormat="1" ht="20.100000000000001" customHeight="1" x14ac:dyDescent="0.15"/>
    <row r="85" s="3" customFormat="1" ht="20.100000000000001" customHeight="1" x14ac:dyDescent="0.15"/>
    <row r="86" s="3" customFormat="1" ht="20.100000000000001" customHeight="1" x14ac:dyDescent="0.15"/>
    <row r="87" s="3" customFormat="1" ht="20.100000000000001" customHeight="1" x14ac:dyDescent="0.15"/>
    <row r="88" s="3" customFormat="1" ht="20.100000000000001" customHeight="1" x14ac:dyDescent="0.15"/>
    <row r="89" s="3" customFormat="1" ht="20.100000000000001" customHeight="1" x14ac:dyDescent="0.15"/>
    <row r="90" s="3" customFormat="1" ht="20.100000000000001" customHeight="1" x14ac:dyDescent="0.15"/>
    <row r="91" s="3" customFormat="1" ht="20.100000000000001" customHeight="1" x14ac:dyDescent="0.15"/>
    <row r="92" s="3" customFormat="1" ht="20.100000000000001" customHeight="1" x14ac:dyDescent="0.15"/>
    <row r="93" s="3" customFormat="1" ht="20.100000000000001" customHeight="1" x14ac:dyDescent="0.15"/>
    <row r="94" s="3" customFormat="1" ht="20.100000000000001" customHeight="1" x14ac:dyDescent="0.15"/>
    <row r="95" s="3" customFormat="1" ht="20.100000000000001" customHeight="1" x14ac:dyDescent="0.15"/>
    <row r="96" s="3" customFormat="1" ht="20.100000000000001" customHeight="1" x14ac:dyDescent="0.15"/>
    <row r="97" s="3" customFormat="1" ht="20.100000000000001" customHeight="1" x14ac:dyDescent="0.15"/>
    <row r="98" s="3" customFormat="1" ht="20.100000000000001" customHeight="1" x14ac:dyDescent="0.15"/>
    <row r="99" s="3" customFormat="1" ht="20.100000000000001" customHeight="1" x14ac:dyDescent="0.15"/>
    <row r="100" s="3" customFormat="1" ht="20.100000000000001" customHeight="1" x14ac:dyDescent="0.15"/>
    <row r="101" s="3" customFormat="1" ht="20.100000000000001" customHeight="1" x14ac:dyDescent="0.15"/>
    <row r="102" s="3" customFormat="1" ht="20.100000000000001" customHeight="1" x14ac:dyDescent="0.15"/>
    <row r="103" s="3" customFormat="1" ht="20.100000000000001" customHeight="1" x14ac:dyDescent="0.15"/>
    <row r="104" s="3" customFormat="1" ht="20.100000000000001" customHeight="1" x14ac:dyDescent="0.15"/>
    <row r="105" s="3" customFormat="1" ht="20.100000000000001" customHeight="1" x14ac:dyDescent="0.15"/>
    <row r="106" s="3" customFormat="1" ht="20.100000000000001" customHeight="1" x14ac:dyDescent="0.15"/>
    <row r="107" s="3" customFormat="1" ht="20.100000000000001" customHeight="1" x14ac:dyDescent="0.15"/>
    <row r="108" s="3" customFormat="1" ht="20.100000000000001" customHeight="1" x14ac:dyDescent="0.15"/>
    <row r="109" s="3" customFormat="1" ht="20.100000000000001" customHeight="1" x14ac:dyDescent="0.15"/>
    <row r="110" s="3" customFormat="1" ht="20.100000000000001" customHeight="1" x14ac:dyDescent="0.15"/>
    <row r="111" s="3" customFormat="1" ht="20.100000000000001" customHeight="1" x14ac:dyDescent="0.15"/>
    <row r="112" s="3" customFormat="1" ht="20.100000000000001" customHeight="1" x14ac:dyDescent="0.15"/>
    <row r="113" s="3" customFormat="1" ht="20.100000000000001" customHeight="1" x14ac:dyDescent="0.15"/>
    <row r="114" s="3" customFormat="1" ht="20.100000000000001" customHeight="1" x14ac:dyDescent="0.15"/>
    <row r="115" s="3" customFormat="1" ht="20.100000000000001" customHeight="1" x14ac:dyDescent="0.15"/>
    <row r="116" s="3" customFormat="1" ht="20.100000000000001" customHeight="1" x14ac:dyDescent="0.15"/>
    <row r="117" s="3" customFormat="1" ht="20.100000000000001" customHeight="1" x14ac:dyDescent="0.15"/>
    <row r="118" s="3" customFormat="1" ht="20.100000000000001" customHeight="1" x14ac:dyDescent="0.15"/>
    <row r="119" s="3" customFormat="1" ht="20.100000000000001" customHeight="1" x14ac:dyDescent="0.15"/>
    <row r="120" s="3" customFormat="1" ht="20.100000000000001" customHeight="1" x14ac:dyDescent="0.15"/>
    <row r="121" s="3" customFormat="1" ht="20.100000000000001" customHeight="1" x14ac:dyDescent="0.15"/>
    <row r="122" s="3" customFormat="1" ht="20.100000000000001" customHeight="1" x14ac:dyDescent="0.15"/>
    <row r="123" s="3" customFormat="1" ht="20.100000000000001" customHeight="1" x14ac:dyDescent="0.15"/>
    <row r="124" s="3" customFormat="1" ht="20.100000000000001" customHeight="1" x14ac:dyDescent="0.15"/>
    <row r="125" s="3" customFormat="1" ht="20.100000000000001" customHeight="1" x14ac:dyDescent="0.15"/>
    <row r="126" s="3" customFormat="1" ht="20.100000000000001" customHeight="1" x14ac:dyDescent="0.15"/>
    <row r="127" s="3" customFormat="1" ht="20.100000000000001" customHeight="1" x14ac:dyDescent="0.15"/>
    <row r="128" s="3" customFormat="1" ht="20.100000000000001" customHeight="1" x14ac:dyDescent="0.15"/>
    <row r="129" s="3" customFormat="1" ht="20.100000000000001" customHeight="1" x14ac:dyDescent="0.15"/>
    <row r="130" s="3" customFormat="1" ht="20.100000000000001" customHeight="1" x14ac:dyDescent="0.15"/>
    <row r="131" s="3" customFormat="1" ht="20.100000000000001" customHeight="1" x14ac:dyDescent="0.15"/>
    <row r="132" s="3" customFormat="1" ht="20.100000000000001" customHeight="1" x14ac:dyDescent="0.15"/>
    <row r="133" s="3" customFormat="1" ht="20.100000000000001" customHeight="1" x14ac:dyDescent="0.15"/>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sheetData>
  <sheetProtection algorithmName="SHA-512" hashValue="IeO/+H/Ig+GRX8xRP848+b8j0uH6XeajF6HxA3qMqL22p8xte8w4Oe22ODrfk16wFD0IJ+nyasEhOncYp1CmAA==" saltValue="/N7OBw5mKSGUfWXVrTdDaw==" spinCount="100000" sheet="1" objects="1" scenarios="1" selectLockedCells="1"/>
  <mergeCells count="132">
    <mergeCell ref="B2:AC2"/>
    <mergeCell ref="B5:C6"/>
    <mergeCell ref="D5:G6"/>
    <mergeCell ref="H5:I6"/>
    <mergeCell ref="B7:C7"/>
    <mergeCell ref="D7:G7"/>
    <mergeCell ref="H7:I7"/>
    <mergeCell ref="B8:C8"/>
    <mergeCell ref="D8:G8"/>
    <mergeCell ref="H8:I8"/>
    <mergeCell ref="B9:C9"/>
    <mergeCell ref="D9:G9"/>
    <mergeCell ref="H9:I9"/>
    <mergeCell ref="B10:C10"/>
    <mergeCell ref="D10:G10"/>
    <mergeCell ref="H10:I10"/>
    <mergeCell ref="B11:C11"/>
    <mergeCell ref="D11:G11"/>
    <mergeCell ref="H11:I11"/>
    <mergeCell ref="B12:G12"/>
    <mergeCell ref="H12:I12"/>
    <mergeCell ref="B17:C18"/>
    <mergeCell ref="D17:G18"/>
    <mergeCell ref="H17:I18"/>
    <mergeCell ref="J17:K18"/>
    <mergeCell ref="L17:M18"/>
    <mergeCell ref="N17:O18"/>
    <mergeCell ref="P17:Q18"/>
    <mergeCell ref="R17:S18"/>
    <mergeCell ref="T17:U18"/>
    <mergeCell ref="V17:W18"/>
    <mergeCell ref="X17:Y18"/>
    <mergeCell ref="Z17:AA18"/>
    <mergeCell ref="AB17:AC18"/>
    <mergeCell ref="AG17:AK17"/>
    <mergeCell ref="B19:C19"/>
    <mergeCell ref="D19:G19"/>
    <mergeCell ref="H19:I19"/>
    <mergeCell ref="J19:K19"/>
    <mergeCell ref="L19:M19"/>
    <mergeCell ref="N19:O19"/>
    <mergeCell ref="P19:Q19"/>
    <mergeCell ref="R19:S19"/>
    <mergeCell ref="T19:U19"/>
    <mergeCell ref="V19:W19"/>
    <mergeCell ref="X19:Y19"/>
    <mergeCell ref="Z19:AA19"/>
    <mergeCell ref="AB19:AC19"/>
    <mergeCell ref="B21:C21"/>
    <mergeCell ref="D21:G21"/>
    <mergeCell ref="H21:I21"/>
    <mergeCell ref="J21:K21"/>
    <mergeCell ref="L21:M21"/>
    <mergeCell ref="N21:O21"/>
    <mergeCell ref="X21:Y21"/>
    <mergeCell ref="Z21:AA21"/>
    <mergeCell ref="V20:W20"/>
    <mergeCell ref="X20:Y20"/>
    <mergeCell ref="Z20:AA20"/>
    <mergeCell ref="B20:C20"/>
    <mergeCell ref="D20:G20"/>
    <mergeCell ref="H20:I20"/>
    <mergeCell ref="J20:K20"/>
    <mergeCell ref="L20:M20"/>
    <mergeCell ref="N20:O20"/>
    <mergeCell ref="P20:Q20"/>
    <mergeCell ref="R20:S20"/>
    <mergeCell ref="T20:U20"/>
    <mergeCell ref="AB20:AC20"/>
    <mergeCell ref="R22:S22"/>
    <mergeCell ref="T22:U22"/>
    <mergeCell ref="P21:Q21"/>
    <mergeCell ref="R21:S21"/>
    <mergeCell ref="T21:U21"/>
    <mergeCell ref="V21:W21"/>
    <mergeCell ref="L23:M23"/>
    <mergeCell ref="N23:O23"/>
    <mergeCell ref="AB21:AC21"/>
    <mergeCell ref="AB22:AC22"/>
    <mergeCell ref="AB23:AC23"/>
    <mergeCell ref="B22:C22"/>
    <mergeCell ref="D22:G22"/>
    <mergeCell ref="H22:I22"/>
    <mergeCell ref="J22:K22"/>
    <mergeCell ref="L22:M22"/>
    <mergeCell ref="N22:O22"/>
    <mergeCell ref="P22:Q22"/>
    <mergeCell ref="X23:Y23"/>
    <mergeCell ref="Z23:AA23"/>
    <mergeCell ref="V22:W22"/>
    <mergeCell ref="X22:Y22"/>
    <mergeCell ref="Z22:AA22"/>
    <mergeCell ref="R23:S23"/>
    <mergeCell ref="T23:U23"/>
    <mergeCell ref="V23:W23"/>
    <mergeCell ref="P23:Q23"/>
    <mergeCell ref="B23:C23"/>
    <mergeCell ref="D23:G23"/>
    <mergeCell ref="H23:I23"/>
    <mergeCell ref="J23:K23"/>
    <mergeCell ref="B30:C30"/>
    <mergeCell ref="D30:G30"/>
    <mergeCell ref="H30:I30"/>
    <mergeCell ref="J30:K30"/>
    <mergeCell ref="L30:M30"/>
    <mergeCell ref="B28:C29"/>
    <mergeCell ref="D28:G29"/>
    <mergeCell ref="H28:I29"/>
    <mergeCell ref="J28:K29"/>
    <mergeCell ref="L28:M29"/>
    <mergeCell ref="B31:C31"/>
    <mergeCell ref="D31:G31"/>
    <mergeCell ref="H31:I31"/>
    <mergeCell ref="J31:K31"/>
    <mergeCell ref="L31:M31"/>
    <mergeCell ref="B32:C32"/>
    <mergeCell ref="D32:G32"/>
    <mergeCell ref="H32:I32"/>
    <mergeCell ref="J32:K32"/>
    <mergeCell ref="L32:M32"/>
    <mergeCell ref="B35:K35"/>
    <mergeCell ref="L35:M35"/>
    <mergeCell ref="B33:C33"/>
    <mergeCell ref="D33:G33"/>
    <mergeCell ref="H33:I33"/>
    <mergeCell ref="J33:K33"/>
    <mergeCell ref="L33:M33"/>
    <mergeCell ref="B34:C34"/>
    <mergeCell ref="D34:G34"/>
    <mergeCell ref="H34:I34"/>
    <mergeCell ref="J34:K34"/>
    <mergeCell ref="L34:M34"/>
  </mergeCells>
  <phoneticPr fontId="2"/>
  <conditionalFormatting sqref="L35:M35">
    <cfRule type="expression" dxfId="1" priority="2" stopIfTrue="1">
      <formula>$L$35=0</formula>
    </cfRule>
  </conditionalFormatting>
  <conditionalFormatting sqref="H12:I15">
    <cfRule type="expression" dxfId="0" priority="1" stopIfTrue="1">
      <formula>$H$12=0</formula>
    </cfRule>
  </conditionalFormatting>
  <dataValidations count="2">
    <dataValidation type="list" allowBlank="1" showInputMessage="1" showErrorMessage="1" sqref="D7:G11 D19:G23">
      <formula1>"基礎断熱,玄関土間,勝手口土間,その他"</formula1>
    </dataValidation>
    <dataValidation type="list" allowBlank="1" showInputMessage="1" showErrorMessage="1" sqref="J30:K34">
      <formula1>"　,1.0,0.7"</formula1>
    </dataValidation>
  </dataValidations>
  <printOptions horizontalCentered="1"/>
  <pageMargins left="0.59055118110236227" right="0.15748031496062992" top="0.98425196850393704" bottom="0.78740157480314965" header="0.31496062992125984" footer="0.39370078740157483"/>
  <pageSetup paperSize="9" scale="88" orientation="portrait" horizontalDpi="300" verticalDpi="300" r:id="rId1"/>
  <headerFooter>
    <oddHeader>&amp;Rver. 1.8[H28]</oddHeader>
    <oddFooter>&amp;Cⓒ　2013 hyoukakyoukai.All right reserved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B1:F40"/>
  <sheetViews>
    <sheetView showGridLines="0" tabSelected="1" view="pageBreakPreview" zoomScaleNormal="100" zoomScaleSheetLayoutView="100" workbookViewId="0">
      <selection activeCell="I42" sqref="I42"/>
    </sheetView>
  </sheetViews>
  <sheetFormatPr defaultRowHeight="13.2" x14ac:dyDescent="0.2"/>
  <cols>
    <col min="1" max="1" width="0.77734375" customWidth="1"/>
    <col min="2" max="2" width="10.44140625" bestFit="1" customWidth="1"/>
  </cols>
  <sheetData>
    <row r="1" spans="2:2" ht="3" customHeight="1" x14ac:dyDescent="0.2"/>
    <row r="2" spans="2:2" x14ac:dyDescent="0.2">
      <c r="B2" t="s">
        <v>100</v>
      </c>
    </row>
    <row r="3" spans="2:2" x14ac:dyDescent="0.2">
      <c r="B3" s="84">
        <v>42570</v>
      </c>
    </row>
    <row r="4" spans="2:2" x14ac:dyDescent="0.2">
      <c r="B4" t="s">
        <v>214</v>
      </c>
    </row>
    <row r="5" spans="2:2" x14ac:dyDescent="0.2">
      <c r="B5" t="s">
        <v>101</v>
      </c>
    </row>
    <row r="6" spans="2:2" x14ac:dyDescent="0.2">
      <c r="B6" t="s">
        <v>195</v>
      </c>
    </row>
    <row r="9" spans="2:2" x14ac:dyDescent="0.2">
      <c r="B9" s="84">
        <v>42627</v>
      </c>
    </row>
    <row r="10" spans="2:2" x14ac:dyDescent="0.2">
      <c r="B10" t="s">
        <v>213</v>
      </c>
    </row>
    <row r="11" spans="2:2" x14ac:dyDescent="0.2">
      <c r="B11" t="s">
        <v>101</v>
      </c>
    </row>
    <row r="12" spans="2:2" x14ac:dyDescent="0.2">
      <c r="B12" t="s">
        <v>196</v>
      </c>
    </row>
    <row r="14" spans="2:2" x14ac:dyDescent="0.2">
      <c r="B14" s="84">
        <v>43341</v>
      </c>
    </row>
    <row r="15" spans="2:2" x14ac:dyDescent="0.2">
      <c r="B15" t="s">
        <v>212</v>
      </c>
    </row>
    <row r="16" spans="2:2" x14ac:dyDescent="0.2">
      <c r="B16" t="s">
        <v>203</v>
      </c>
    </row>
    <row r="17" spans="2:6" x14ac:dyDescent="0.2">
      <c r="B17" t="s">
        <v>204</v>
      </c>
    </row>
    <row r="19" spans="2:6" x14ac:dyDescent="0.2">
      <c r="B19" s="92">
        <v>43435</v>
      </c>
      <c r="C19" s="93"/>
      <c r="D19" s="93"/>
      <c r="E19" s="93"/>
      <c r="F19" s="93"/>
    </row>
    <row r="20" spans="2:6" x14ac:dyDescent="0.2">
      <c r="B20" s="93" t="s">
        <v>211</v>
      </c>
      <c r="C20" s="93"/>
      <c r="D20" s="93"/>
      <c r="E20" s="93"/>
      <c r="F20" s="93"/>
    </row>
    <row r="21" spans="2:6" x14ac:dyDescent="0.2">
      <c r="B21" s="93" t="s">
        <v>206</v>
      </c>
      <c r="C21" s="93"/>
      <c r="D21" s="93"/>
      <c r="E21" s="93"/>
      <c r="F21" s="93"/>
    </row>
    <row r="22" spans="2:6" x14ac:dyDescent="0.2">
      <c r="B22" s="93" t="s">
        <v>210</v>
      </c>
      <c r="C22" s="93"/>
      <c r="D22" s="93"/>
      <c r="E22" s="93"/>
      <c r="F22" s="93"/>
    </row>
    <row r="24" spans="2:6" x14ac:dyDescent="0.2">
      <c r="B24" s="84">
        <v>43614</v>
      </c>
    </row>
    <row r="25" spans="2:6" x14ac:dyDescent="0.2">
      <c r="B25" s="93" t="s">
        <v>223</v>
      </c>
    </row>
    <row r="26" spans="2:6" x14ac:dyDescent="0.2">
      <c r="B26" s="93" t="s">
        <v>217</v>
      </c>
    </row>
    <row r="27" spans="2:6" x14ac:dyDescent="0.2">
      <c r="B27" s="93" t="s">
        <v>215</v>
      </c>
    </row>
    <row r="28" spans="2:6" x14ac:dyDescent="0.2">
      <c r="B28" s="93" t="s">
        <v>216</v>
      </c>
    </row>
    <row r="29" spans="2:6" x14ac:dyDescent="0.2">
      <c r="B29" s="93" t="s">
        <v>218</v>
      </c>
    </row>
    <row r="30" spans="2:6" x14ac:dyDescent="0.2">
      <c r="B30" s="93" t="s">
        <v>219</v>
      </c>
    </row>
    <row r="31" spans="2:6" x14ac:dyDescent="0.2">
      <c r="B31" s="93" t="s">
        <v>220</v>
      </c>
    </row>
    <row r="32" spans="2:6" x14ac:dyDescent="0.2">
      <c r="B32" s="93" t="s">
        <v>221</v>
      </c>
    </row>
    <row r="34" spans="2:2" x14ac:dyDescent="0.2">
      <c r="B34" s="84">
        <v>43858</v>
      </c>
    </row>
    <row r="35" spans="2:2" x14ac:dyDescent="0.2">
      <c r="B35" s="93" t="s">
        <v>234</v>
      </c>
    </row>
    <row r="36" spans="2:2" x14ac:dyDescent="0.2">
      <c r="B36" s="93" t="s">
        <v>222</v>
      </c>
    </row>
    <row r="38" spans="2:2" x14ac:dyDescent="0.2">
      <c r="B38" s="100" t="s">
        <v>236</v>
      </c>
    </row>
    <row r="39" spans="2:2" x14ac:dyDescent="0.2">
      <c r="B39" s="93" t="s">
        <v>233</v>
      </c>
    </row>
    <row r="40" spans="2:2" x14ac:dyDescent="0.2">
      <c r="B40" s="93" t="s">
        <v>235</v>
      </c>
    </row>
  </sheetData>
  <sheetProtection algorithmName="SHA-512" hashValue="QdZV2EU5hNNZQdjk+OhmLrTVhcoGCY4YdeL3N66uJOXoYPseq/6/u73EWVsOK+dmm3zIRQSZFefzZ7OpJjpszQ==" saltValue="ElLubaM2FEYUcmJkpLkyxA==" spinCount="100000" sheet="1" objects="1" scenarios="1" selectLockedCells="1"/>
  <phoneticPr fontId="2"/>
  <printOptions horizontalCentered="1"/>
  <pageMargins left="0.59055118110236227" right="0.39370078740157483" top="0.98425196850393704" bottom="0.78740157480314965" header="0.31496062992125984" footer="0.39370078740157483"/>
  <pageSetup paperSize="9" scale="90" orientation="portrait" horizontalDpi="300" verticalDpi="300" r:id="rId1"/>
  <headerFooter>
    <oddHeader>&amp;Rver. 1.8[H28]</oddHeader>
    <oddFooter>&amp;Cⓒ　2013 hyoukakyoukai.All right reserved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B1:AN147"/>
  <sheetViews>
    <sheetView showGridLines="0" view="pageBreakPreview" topLeftCell="A10" zoomScaleNormal="100" zoomScaleSheetLayoutView="100" workbookViewId="0">
      <selection activeCell="K6" sqref="K6:AC6"/>
    </sheetView>
  </sheetViews>
  <sheetFormatPr defaultRowHeight="13.2" x14ac:dyDescent="0.2"/>
  <cols>
    <col min="1" max="1" width="0.77734375" customWidth="1"/>
    <col min="2" max="29" width="3.6640625" customWidth="1"/>
    <col min="30" max="31" width="3.6640625" hidden="1" customWidth="1"/>
    <col min="32" max="32" width="8" hidden="1" customWidth="1"/>
    <col min="33" max="38" width="10.6640625" hidden="1" customWidth="1"/>
    <col min="39" max="53" width="3.6640625" customWidth="1"/>
  </cols>
  <sheetData>
    <row r="1" spans="2:40" ht="4.5" customHeight="1" x14ac:dyDescent="0.2"/>
    <row r="2" spans="2:40" ht="30" customHeight="1" x14ac:dyDescent="0.2">
      <c r="B2" s="134" t="s">
        <v>181</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row>
    <row r="3" spans="2:40" ht="24.9" customHeight="1" x14ac:dyDescent="0.2">
      <c r="B3" s="135" t="s">
        <v>180</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row>
    <row r="4" spans="2:40" ht="30" customHeight="1" x14ac:dyDescent="0.2">
      <c r="AG4" s="133" t="s">
        <v>94</v>
      </c>
      <c r="AH4" s="133"/>
      <c r="AI4" s="133"/>
      <c r="AJ4" s="133"/>
      <c r="AK4" s="133"/>
      <c r="AL4" s="133"/>
    </row>
    <row r="5" spans="2:40" ht="30" customHeight="1" thickBot="1" x14ac:dyDescent="0.25">
      <c r="B5" s="4" t="s">
        <v>26</v>
      </c>
      <c r="AF5" s="57"/>
      <c r="AG5" s="112" t="s">
        <v>151</v>
      </c>
      <c r="AH5" s="112"/>
      <c r="AI5" s="112" t="s">
        <v>152</v>
      </c>
      <c r="AJ5" s="112"/>
      <c r="AK5" s="112" t="s">
        <v>153</v>
      </c>
      <c r="AL5" s="112"/>
    </row>
    <row r="6" spans="2:40" s="2" customFormat="1" ht="30" customHeight="1" x14ac:dyDescent="0.2">
      <c r="B6" s="143" t="s">
        <v>27</v>
      </c>
      <c r="C6" s="144"/>
      <c r="D6" s="144"/>
      <c r="E6" s="144"/>
      <c r="F6" s="144"/>
      <c r="G6" s="144"/>
      <c r="H6" s="144"/>
      <c r="I6" s="145"/>
      <c r="J6" s="13"/>
      <c r="K6" s="146" t="s">
        <v>262</v>
      </c>
      <c r="L6" s="146"/>
      <c r="M6" s="146"/>
      <c r="N6" s="146"/>
      <c r="O6" s="146"/>
      <c r="P6" s="146"/>
      <c r="Q6" s="146"/>
      <c r="R6" s="146"/>
      <c r="S6" s="146"/>
      <c r="T6" s="146"/>
      <c r="U6" s="146"/>
      <c r="V6" s="146"/>
      <c r="W6" s="146"/>
      <c r="X6" s="146"/>
      <c r="Y6" s="146"/>
      <c r="Z6" s="146"/>
      <c r="AA6" s="146"/>
      <c r="AB6" s="146"/>
      <c r="AC6" s="147"/>
      <c r="AF6" s="57"/>
      <c r="AG6" s="58" t="s">
        <v>154</v>
      </c>
      <c r="AH6" s="58" t="s">
        <v>155</v>
      </c>
      <c r="AI6" s="58" t="s">
        <v>154</v>
      </c>
      <c r="AJ6" s="58" t="s">
        <v>155</v>
      </c>
      <c r="AK6" s="58" t="s">
        <v>154</v>
      </c>
      <c r="AL6" s="58" t="s">
        <v>155</v>
      </c>
    </row>
    <row r="7" spans="2:40" s="2" customFormat="1" ht="30" customHeight="1" x14ac:dyDescent="0.2">
      <c r="B7" s="136" t="s">
        <v>28</v>
      </c>
      <c r="C7" s="137"/>
      <c r="D7" s="137"/>
      <c r="E7" s="137"/>
      <c r="F7" s="137"/>
      <c r="G7" s="137"/>
      <c r="H7" s="137"/>
      <c r="I7" s="138"/>
      <c r="J7" s="14"/>
      <c r="K7" s="139" t="s">
        <v>237</v>
      </c>
      <c r="L7" s="139"/>
      <c r="M7" s="139"/>
      <c r="N7" s="139"/>
      <c r="O7" s="139"/>
      <c r="P7" s="139"/>
      <c r="Q7" s="139"/>
      <c r="R7" s="139"/>
      <c r="S7" s="139"/>
      <c r="T7" s="139"/>
      <c r="U7" s="139"/>
      <c r="V7" s="139"/>
      <c r="W7" s="140"/>
      <c r="X7" s="141" t="s">
        <v>30</v>
      </c>
      <c r="Y7" s="142"/>
      <c r="Z7" s="142"/>
      <c r="AA7" s="113" t="s">
        <v>238</v>
      </c>
      <c r="AB7" s="113"/>
      <c r="AC7" s="114"/>
      <c r="AF7" s="58" t="s">
        <v>183</v>
      </c>
      <c r="AG7" s="58">
        <v>0.46</v>
      </c>
      <c r="AH7" s="59" t="s">
        <v>156</v>
      </c>
      <c r="AI7" s="58">
        <v>0.54</v>
      </c>
      <c r="AJ7" s="59" t="s">
        <v>156</v>
      </c>
      <c r="AK7" s="58">
        <v>0.72</v>
      </c>
      <c r="AL7" s="59" t="s">
        <v>156</v>
      </c>
    </row>
    <row r="8" spans="2:40" s="2" customFormat="1" ht="30" customHeight="1" thickBot="1" x14ac:dyDescent="0.25">
      <c r="B8" s="123" t="s">
        <v>29</v>
      </c>
      <c r="C8" s="124"/>
      <c r="D8" s="124"/>
      <c r="E8" s="124"/>
      <c r="F8" s="124"/>
      <c r="G8" s="124"/>
      <c r="H8" s="124"/>
      <c r="I8" s="125"/>
      <c r="J8" s="12"/>
      <c r="K8" s="21"/>
      <c r="L8" s="21"/>
      <c r="M8" s="148" t="s">
        <v>31</v>
      </c>
      <c r="N8" s="148"/>
      <c r="O8" s="149">
        <v>2</v>
      </c>
      <c r="P8" s="149"/>
      <c r="Q8" s="21" t="s">
        <v>2</v>
      </c>
      <c r="R8" s="148" t="s">
        <v>32</v>
      </c>
      <c r="S8" s="148"/>
      <c r="T8" s="149">
        <v>0</v>
      </c>
      <c r="U8" s="149"/>
      <c r="V8" s="21" t="s">
        <v>2</v>
      </c>
      <c r="W8" s="21"/>
      <c r="X8" s="21"/>
      <c r="Y8" s="21"/>
      <c r="Z8" s="21"/>
      <c r="AA8" s="21"/>
      <c r="AB8" s="21"/>
      <c r="AC8" s="22"/>
      <c r="AF8" s="58" t="s">
        <v>184</v>
      </c>
      <c r="AG8" s="58">
        <v>0.46</v>
      </c>
      <c r="AH8" s="59" t="s">
        <v>156</v>
      </c>
      <c r="AI8" s="58">
        <v>0.54</v>
      </c>
      <c r="AJ8" s="59" t="s">
        <v>156</v>
      </c>
      <c r="AK8" s="58">
        <v>0.72</v>
      </c>
      <c r="AL8" s="59" t="s">
        <v>156</v>
      </c>
    </row>
    <row r="9" spans="2:40" s="2" customFormat="1" ht="30" customHeight="1" x14ac:dyDescent="0.2">
      <c r="AF9" s="58" t="s">
        <v>185</v>
      </c>
      <c r="AG9" s="58">
        <v>0.56000000000000005</v>
      </c>
      <c r="AH9" s="59" t="s">
        <v>156</v>
      </c>
      <c r="AI9" s="58">
        <v>1.04</v>
      </c>
      <c r="AJ9" s="59" t="s">
        <v>156</v>
      </c>
      <c r="AK9" s="58">
        <v>1.21</v>
      </c>
      <c r="AL9" s="59" t="s">
        <v>156</v>
      </c>
    </row>
    <row r="10" spans="2:40" s="2" customFormat="1" ht="30" customHeight="1" thickBot="1" x14ac:dyDescent="0.25">
      <c r="B10" s="4" t="s">
        <v>33</v>
      </c>
      <c r="AF10" s="58" t="s">
        <v>186</v>
      </c>
      <c r="AG10" s="58">
        <v>0.75</v>
      </c>
      <c r="AH10" s="59" t="s">
        <v>156</v>
      </c>
      <c r="AI10" s="58">
        <v>1.25</v>
      </c>
      <c r="AJ10" s="59" t="s">
        <v>156</v>
      </c>
      <c r="AK10" s="58">
        <v>1.47</v>
      </c>
      <c r="AL10" s="59" t="s">
        <v>156</v>
      </c>
    </row>
    <row r="11" spans="2:40" s="2" customFormat="1" ht="30" customHeight="1" x14ac:dyDescent="0.2">
      <c r="B11" s="130" t="s">
        <v>174</v>
      </c>
      <c r="C11" s="131"/>
      <c r="D11" s="131"/>
      <c r="E11" s="131"/>
      <c r="F11" s="131"/>
      <c r="G11" s="131"/>
      <c r="H11" s="131"/>
      <c r="I11" s="132"/>
      <c r="J11" s="150">
        <f>ROUND('Ａ（北）'!L41+'Ａ（北東）'!L41+'Ａ（東）'!L41+'Ａ（南東）'!L41+'Ａ（南）'!L41+'Ａ（南西）'!L41+'Ａ（西）'!L41+'Ａ（北西）'!L41+'Ｂ（屋根・床等）'!P30+'Ｃ（基礎）'!H12,2)</f>
        <v>338.07</v>
      </c>
      <c r="K11" s="151"/>
      <c r="L11" s="151"/>
      <c r="M11" s="152" t="s">
        <v>24</v>
      </c>
      <c r="N11" s="153"/>
      <c r="O11" s="130" t="s">
        <v>177</v>
      </c>
      <c r="P11" s="131"/>
      <c r="Q11" s="131"/>
      <c r="R11" s="131"/>
      <c r="S11" s="131"/>
      <c r="T11" s="131"/>
      <c r="U11" s="131"/>
      <c r="V11" s="131"/>
      <c r="W11" s="132"/>
      <c r="X11" s="128">
        <f>IF(AH20=0,0,ROUNDUP((AH20/J11)*100,1))</f>
        <v>1.5</v>
      </c>
      <c r="Y11" s="129"/>
      <c r="Z11" s="129"/>
      <c r="AA11" s="129"/>
      <c r="AB11" s="82"/>
      <c r="AC11" s="83"/>
      <c r="AF11" s="58" t="s">
        <v>187</v>
      </c>
      <c r="AG11" s="58">
        <v>0.87</v>
      </c>
      <c r="AH11" s="59">
        <v>3</v>
      </c>
      <c r="AI11" s="58">
        <v>1.54</v>
      </c>
      <c r="AJ11" s="59">
        <v>4</v>
      </c>
      <c r="AK11" s="58">
        <v>1.67</v>
      </c>
      <c r="AL11" s="59" t="s">
        <v>156</v>
      </c>
    </row>
    <row r="12" spans="2:40" s="2" customFormat="1" ht="30" customHeight="1" thickBot="1" x14ac:dyDescent="0.25">
      <c r="B12" s="123" t="s">
        <v>175</v>
      </c>
      <c r="C12" s="124"/>
      <c r="D12" s="124"/>
      <c r="E12" s="124"/>
      <c r="F12" s="124"/>
      <c r="G12" s="124"/>
      <c r="H12" s="124"/>
      <c r="I12" s="125"/>
      <c r="J12" s="118">
        <f>IF(AH19=0,0,ROUNDUP(AH19/J11,2))</f>
        <v>0.3</v>
      </c>
      <c r="K12" s="118"/>
      <c r="L12" s="118"/>
      <c r="M12" s="154" t="s">
        <v>176</v>
      </c>
      <c r="N12" s="155"/>
      <c r="O12" s="123" t="s">
        <v>178</v>
      </c>
      <c r="P12" s="124"/>
      <c r="Q12" s="124"/>
      <c r="R12" s="124"/>
      <c r="S12" s="124"/>
      <c r="T12" s="124"/>
      <c r="U12" s="124"/>
      <c r="V12" s="124"/>
      <c r="W12" s="125"/>
      <c r="X12" s="117">
        <f>IF(AH21=0,0,ROUNDDOWN((AH21/J11)*100,1))</f>
        <v>1.2</v>
      </c>
      <c r="Y12" s="118"/>
      <c r="Z12" s="118"/>
      <c r="AA12" s="118"/>
      <c r="AB12" s="115"/>
      <c r="AC12" s="116"/>
      <c r="AF12" s="58" t="s">
        <v>188</v>
      </c>
      <c r="AG12" s="58">
        <v>0.87</v>
      </c>
      <c r="AH12" s="59">
        <v>2.8</v>
      </c>
      <c r="AI12" s="58">
        <v>1.54</v>
      </c>
      <c r="AJ12" s="59">
        <v>3.8</v>
      </c>
      <c r="AK12" s="58">
        <v>1.67</v>
      </c>
      <c r="AL12" s="59" t="s">
        <v>156</v>
      </c>
    </row>
    <row r="13" spans="2:40" s="2" customFormat="1" ht="30" customHeight="1" x14ac:dyDescent="0.2">
      <c r="B13" s="41"/>
      <c r="C13" s="41"/>
      <c r="D13" s="41"/>
      <c r="E13" s="41"/>
      <c r="F13" s="41"/>
      <c r="G13" s="41"/>
      <c r="H13" s="41"/>
      <c r="I13" s="41"/>
      <c r="J13" s="60"/>
      <c r="K13" s="60"/>
      <c r="L13" s="60"/>
      <c r="M13" s="78"/>
      <c r="N13" s="81"/>
      <c r="AF13" s="58" t="s">
        <v>189</v>
      </c>
      <c r="AG13" s="58">
        <v>0.87</v>
      </c>
      <c r="AH13" s="59">
        <v>2.7</v>
      </c>
      <c r="AI13" s="58">
        <v>1.81</v>
      </c>
      <c r="AJ13" s="59">
        <v>4</v>
      </c>
      <c r="AK13" s="58">
        <v>2.35</v>
      </c>
      <c r="AL13" s="59" t="s">
        <v>156</v>
      </c>
      <c r="AM13" s="60"/>
      <c r="AN13" s="60"/>
    </row>
    <row r="14" spans="2:40" s="2" customFormat="1" ht="30" customHeight="1" x14ac:dyDescent="0.2">
      <c r="O14" s="6"/>
      <c r="P14" s="6"/>
      <c r="Q14" s="6"/>
      <c r="R14" s="6"/>
      <c r="S14" s="6"/>
      <c r="T14" s="6"/>
      <c r="U14" s="6"/>
      <c r="V14" s="6"/>
      <c r="W14" s="6"/>
      <c r="X14" s="6"/>
      <c r="Y14" s="6"/>
      <c r="Z14" s="18"/>
      <c r="AA14" s="20"/>
      <c r="AB14" s="20"/>
      <c r="AC14" s="19"/>
      <c r="AF14" s="58" t="s">
        <v>190</v>
      </c>
      <c r="AG14" s="58" t="s">
        <v>156</v>
      </c>
      <c r="AH14" s="98">
        <v>6.7</v>
      </c>
      <c r="AI14" s="58" t="s">
        <v>156</v>
      </c>
      <c r="AJ14" s="99" t="s">
        <v>156</v>
      </c>
      <c r="AK14" s="58" t="s">
        <v>156</v>
      </c>
      <c r="AL14" s="59" t="s">
        <v>156</v>
      </c>
    </row>
    <row r="15" spans="2:40" s="2" customFormat="1" ht="30" customHeight="1" thickBot="1" x14ac:dyDescent="0.25">
      <c r="B15" s="4" t="s">
        <v>95</v>
      </c>
    </row>
    <row r="16" spans="2:40" s="2" customFormat="1" ht="30" customHeight="1" thickBot="1" x14ac:dyDescent="0.25">
      <c r="B16" s="162"/>
      <c r="C16" s="163"/>
      <c r="D16" s="163"/>
      <c r="E16" s="163"/>
      <c r="F16" s="163"/>
      <c r="G16" s="163"/>
      <c r="H16" s="163"/>
      <c r="I16" s="164"/>
      <c r="J16" s="165" t="s">
        <v>96</v>
      </c>
      <c r="K16" s="166"/>
      <c r="L16" s="166"/>
      <c r="M16" s="166"/>
      <c r="N16" s="166"/>
      <c r="O16" s="166" t="s">
        <v>97</v>
      </c>
      <c r="P16" s="166"/>
      <c r="Q16" s="166"/>
      <c r="R16" s="166"/>
      <c r="S16" s="166"/>
      <c r="T16" s="167" t="s">
        <v>98</v>
      </c>
      <c r="U16" s="167"/>
      <c r="V16" s="167"/>
      <c r="W16" s="167"/>
      <c r="X16" s="168"/>
      <c r="Z16" s="63"/>
      <c r="AA16" s="103" t="s">
        <v>157</v>
      </c>
      <c r="AB16" s="104"/>
      <c r="AC16" s="105"/>
    </row>
    <row r="17" spans="2:38" s="2" customFormat="1" ht="30" customHeight="1" x14ac:dyDescent="0.2">
      <c r="B17" s="169" t="s">
        <v>191</v>
      </c>
      <c r="C17" s="104"/>
      <c r="D17" s="104"/>
      <c r="E17" s="104"/>
      <c r="F17" s="104"/>
      <c r="G17" s="104"/>
      <c r="H17" s="104"/>
      <c r="I17" s="104"/>
      <c r="J17" s="170">
        <f>J12</f>
        <v>0.3</v>
      </c>
      <c r="K17" s="171"/>
      <c r="L17" s="171"/>
      <c r="M17" s="172" t="s">
        <v>34</v>
      </c>
      <c r="N17" s="173"/>
      <c r="O17" s="174">
        <f>IF(AF17=1,AG17,IF(AF17=2,AI17,IF(AF17=3,AK17,"-")))</f>
        <v>0.46</v>
      </c>
      <c r="P17" s="171"/>
      <c r="Q17" s="171"/>
      <c r="R17" s="172" t="s">
        <v>34</v>
      </c>
      <c r="S17" s="173"/>
      <c r="T17" s="121" t="str">
        <f>IF(O17="-","",(IF(O17&gt;=J17,"適合","不適合")))</f>
        <v>適合</v>
      </c>
      <c r="U17" s="121"/>
      <c r="V17" s="121"/>
      <c r="W17" s="121"/>
      <c r="X17" s="122"/>
      <c r="Z17" s="64"/>
      <c r="AA17" s="106" t="s">
        <v>158</v>
      </c>
      <c r="AB17" s="107"/>
      <c r="AC17" s="108"/>
      <c r="AF17" s="76">
        <v>1</v>
      </c>
      <c r="AG17" s="61">
        <f>VLOOKUP(AA7,$AF$7:$AL$14,2,FALSE)</f>
        <v>0.46</v>
      </c>
      <c r="AH17" s="62" t="str">
        <f>VLOOKUP(AA7,$AF$7:$AL$14,3,FALSE)</f>
        <v>-</v>
      </c>
      <c r="AI17" s="61">
        <f>VLOOKUP(AA7,$AF$7:$AL$14,4,FALSE)</f>
        <v>0.54</v>
      </c>
      <c r="AJ17" s="62" t="str">
        <f>VLOOKUP(AA7,$AF$7:$AL$14,5,FALSE)</f>
        <v>-</v>
      </c>
      <c r="AK17" s="61">
        <f>VLOOKUP(AA7,$AF$7:$AL$14,6,FALSE)</f>
        <v>0.72</v>
      </c>
      <c r="AL17" s="61" t="str">
        <f>VLOOKUP(AA7,$AF$7:$AL$14,7,FALSE)</f>
        <v>-</v>
      </c>
    </row>
    <row r="18" spans="2:38" s="2" customFormat="1" ht="30" customHeight="1" thickBot="1" x14ac:dyDescent="0.25">
      <c r="B18" s="158" t="s">
        <v>179</v>
      </c>
      <c r="C18" s="159"/>
      <c r="D18" s="159"/>
      <c r="E18" s="159"/>
      <c r="F18" s="159"/>
      <c r="G18" s="159"/>
      <c r="H18" s="159"/>
      <c r="I18" s="159"/>
      <c r="J18" s="117">
        <f>X11</f>
        <v>1.5</v>
      </c>
      <c r="K18" s="118"/>
      <c r="L18" s="118"/>
      <c r="M18" s="126"/>
      <c r="N18" s="127"/>
      <c r="O18" s="160" t="str">
        <f>IF(AF17=1,AH17,IF(AF17=2,AJ17,IF(AF17=3,AL17,"-")))</f>
        <v>-</v>
      </c>
      <c r="P18" s="161"/>
      <c r="Q18" s="161"/>
      <c r="R18" s="126"/>
      <c r="S18" s="127"/>
      <c r="T18" s="119" t="str">
        <f>IF(O18="-","",(IF(O18&gt;=J18,"適合","不適合")))</f>
        <v/>
      </c>
      <c r="U18" s="119"/>
      <c r="V18" s="119"/>
      <c r="W18" s="119"/>
      <c r="X18" s="120"/>
      <c r="Z18" s="65"/>
      <c r="AA18" s="109" t="s">
        <v>159</v>
      </c>
      <c r="AB18" s="110"/>
      <c r="AC18" s="111"/>
    </row>
    <row r="19" spans="2:38" s="2" customFormat="1" ht="30" customHeight="1" x14ac:dyDescent="0.2">
      <c r="AF19" s="102" t="s">
        <v>173</v>
      </c>
      <c r="AG19" s="80" t="s">
        <v>182</v>
      </c>
      <c r="AH19" s="77">
        <f>'Ａ（北）'!W44+'Ａ（北東）'!W44+'Ａ（東）'!W44+'Ａ（南東）'!W44+'Ａ（南）'!W44+'Ａ（南西）'!W44+'Ａ（西）'!W44+'Ａ（北西）'!W44+'Ｂ（屋根・床等）'!W33+'Ｃ（基礎）'!L35</f>
        <v>99.86999279046367</v>
      </c>
    </row>
    <row r="20" spans="2:38" s="2" customFormat="1" ht="30" customHeight="1" x14ac:dyDescent="0.2">
      <c r="AF20" s="102"/>
      <c r="AG20" s="79" t="s">
        <v>171</v>
      </c>
      <c r="AH20" s="77">
        <f>'Ａ（北）'!W42+'Ａ（北東）'!W42+'Ａ（東）'!W42+'Ａ（南東）'!W42+'Ａ（南）'!W42+'Ａ（南西）'!W42+'Ａ（西）'!W42+'Ａ（北西）'!W42+'Ｂ（屋根・床等）'!W31</f>
        <v>4.8938978184960948</v>
      </c>
    </row>
    <row r="21" spans="2:38" s="2" customFormat="1" ht="30" customHeight="1" x14ac:dyDescent="0.2">
      <c r="C21" s="6"/>
      <c r="D21" s="6"/>
      <c r="E21" s="6"/>
      <c r="F21" s="6"/>
      <c r="G21" s="6"/>
      <c r="H21" s="6"/>
      <c r="I21" s="6"/>
      <c r="J21" s="6"/>
      <c r="K21" s="6"/>
      <c r="L21" s="6"/>
      <c r="M21" s="6"/>
      <c r="N21" s="6"/>
      <c r="O21" s="6"/>
      <c r="P21" s="6"/>
      <c r="Q21" s="6"/>
      <c r="R21" s="6"/>
      <c r="S21" s="6"/>
      <c r="T21" s="6"/>
      <c r="U21" s="6"/>
      <c r="V21" s="6"/>
      <c r="W21" s="6"/>
      <c r="X21" s="6"/>
      <c r="Y21" s="6"/>
      <c r="Z21" s="6"/>
      <c r="AA21" s="6"/>
      <c r="AB21" s="6"/>
      <c r="AF21" s="102"/>
      <c r="AG21" s="79" t="s">
        <v>172</v>
      </c>
      <c r="AH21" s="77">
        <f>'Ａ（北）'!W43+'Ａ（北東）'!W43+'Ａ（東）'!W43+'Ａ（南東）'!W43+'Ａ（南）'!W43+'Ａ（南西）'!W43+'Ａ（西）'!W43+'Ａ（北西）'!W43+'Ｂ（屋根・床等）'!W32</f>
        <v>4.2650904552873721</v>
      </c>
    </row>
    <row r="22" spans="2:38" s="2" customFormat="1" ht="30" customHeight="1" x14ac:dyDescent="0.2">
      <c r="C22" s="5"/>
      <c r="D22" s="5"/>
      <c r="E22" s="5"/>
      <c r="F22" s="5"/>
      <c r="G22" s="5"/>
      <c r="H22" s="5"/>
      <c r="I22" s="5"/>
      <c r="J22" s="5"/>
      <c r="K22" s="5"/>
      <c r="L22" s="5"/>
      <c r="M22" s="5"/>
      <c r="N22" s="5"/>
      <c r="O22" s="5"/>
      <c r="P22" s="5"/>
      <c r="Q22" s="5"/>
      <c r="R22" s="5"/>
      <c r="S22" s="5"/>
      <c r="T22" s="5"/>
      <c r="U22" s="5"/>
      <c r="V22" s="5"/>
      <c r="W22" s="5"/>
      <c r="X22" s="5"/>
      <c r="Y22" s="5"/>
      <c r="Z22" s="5"/>
      <c r="AA22" s="5"/>
      <c r="AB22" s="5"/>
      <c r="AG22"/>
    </row>
    <row r="23" spans="2:38" s="2" customFormat="1" ht="30" customHeight="1" x14ac:dyDescent="0.2">
      <c r="C23" s="7" t="s">
        <v>224</v>
      </c>
      <c r="D23" s="6"/>
      <c r="E23" s="6"/>
      <c r="F23" s="6"/>
      <c r="G23" s="6"/>
      <c r="H23" s="6"/>
      <c r="I23" s="6"/>
      <c r="J23" s="6"/>
      <c r="K23" s="6"/>
      <c r="L23" s="6"/>
      <c r="M23" s="6"/>
      <c r="N23" s="6"/>
      <c r="O23" s="6"/>
      <c r="P23" s="6"/>
      <c r="Q23" s="6"/>
      <c r="R23" s="6"/>
      <c r="S23" s="6"/>
      <c r="T23" s="6"/>
      <c r="U23" s="6"/>
      <c r="V23" s="6"/>
      <c r="W23" s="6"/>
      <c r="X23" s="6"/>
      <c r="Y23" s="6"/>
      <c r="Z23" s="6"/>
      <c r="AA23" s="6"/>
      <c r="AB23" s="15"/>
      <c r="AG23"/>
    </row>
    <row r="24" spans="2:38" s="2" customFormat="1" ht="30" customHeight="1" x14ac:dyDescent="0.2">
      <c r="C24" s="7" t="s">
        <v>225</v>
      </c>
      <c r="D24" s="6"/>
      <c r="E24" s="6"/>
      <c r="F24" s="6"/>
      <c r="G24" s="6"/>
      <c r="H24" s="6"/>
      <c r="I24" s="6"/>
      <c r="J24" s="6"/>
      <c r="K24" s="6"/>
      <c r="L24" s="6"/>
      <c r="M24" s="6"/>
      <c r="N24" s="6"/>
      <c r="O24" s="6"/>
      <c r="P24" s="6"/>
      <c r="Q24" s="6"/>
      <c r="R24" s="6"/>
      <c r="S24" s="6"/>
      <c r="T24" s="6"/>
      <c r="U24" s="6"/>
      <c r="V24" s="6"/>
      <c r="W24" s="6"/>
      <c r="X24" s="6"/>
      <c r="Y24" s="6"/>
      <c r="Z24" s="6"/>
      <c r="AA24" s="6"/>
      <c r="AB24" s="15"/>
      <c r="AG24"/>
    </row>
    <row r="25" spans="2:38" s="2" customFormat="1" ht="30" customHeight="1" x14ac:dyDescent="0.2">
      <c r="C25" s="7" t="s">
        <v>226</v>
      </c>
      <c r="D25" s="6"/>
      <c r="E25" s="6"/>
      <c r="F25" s="6"/>
      <c r="G25" s="156" t="s">
        <v>83</v>
      </c>
      <c r="H25" s="157"/>
      <c r="I25" s="7" t="s">
        <v>82</v>
      </c>
      <c r="K25" s="6"/>
      <c r="L25" s="6"/>
      <c r="M25" s="6"/>
      <c r="N25" s="6"/>
      <c r="O25" s="6"/>
      <c r="P25" s="6"/>
      <c r="Q25" s="6"/>
      <c r="R25" s="6"/>
      <c r="S25" s="6"/>
      <c r="T25" s="6"/>
      <c r="U25" s="6"/>
      <c r="V25" s="6"/>
      <c r="W25" s="6"/>
      <c r="X25" s="6"/>
      <c r="Y25" s="6"/>
      <c r="Z25" s="6"/>
      <c r="AA25" s="6"/>
      <c r="AB25" s="15"/>
      <c r="AG25"/>
    </row>
    <row r="26" spans="2:38" s="2" customFormat="1" ht="30" customHeight="1" x14ac:dyDescent="0.2">
      <c r="C26" s="7" t="s">
        <v>227</v>
      </c>
      <c r="D26" s="6"/>
      <c r="E26" s="6"/>
      <c r="F26" s="6"/>
      <c r="G26" s="34"/>
      <c r="H26" s="34"/>
      <c r="I26" s="6"/>
      <c r="K26" s="6"/>
      <c r="L26" s="6"/>
      <c r="M26" s="6"/>
      <c r="N26" s="6"/>
      <c r="O26" s="6"/>
      <c r="P26" s="6"/>
      <c r="Q26" s="6"/>
      <c r="R26" s="6"/>
      <c r="S26" s="6"/>
      <c r="T26" s="6"/>
      <c r="U26" s="6"/>
      <c r="V26" s="6"/>
      <c r="W26" s="6"/>
      <c r="X26" s="6"/>
      <c r="Y26" s="6"/>
      <c r="Z26" s="6"/>
      <c r="AA26" s="6"/>
      <c r="AB26" s="15"/>
      <c r="AG26"/>
    </row>
    <row r="27" spans="2:38" s="2" customFormat="1" ht="30" customHeight="1" x14ac:dyDescent="0.2">
      <c r="C27" s="7" t="s">
        <v>228</v>
      </c>
      <c r="D27" s="6"/>
      <c r="E27" s="6"/>
      <c r="F27" s="6"/>
      <c r="G27" s="6"/>
      <c r="H27" s="6"/>
      <c r="I27" s="6"/>
      <c r="J27" s="6"/>
      <c r="K27" s="6"/>
      <c r="L27" s="6"/>
      <c r="M27" s="6"/>
      <c r="N27" s="6"/>
      <c r="O27" s="6"/>
      <c r="P27" s="6"/>
      <c r="Q27" s="6"/>
      <c r="R27" s="6"/>
      <c r="S27" s="6"/>
      <c r="T27" s="6"/>
      <c r="U27" s="6"/>
      <c r="V27" s="6"/>
      <c r="W27" s="6"/>
      <c r="X27" s="6"/>
      <c r="Y27" s="6"/>
      <c r="Z27" s="6"/>
      <c r="AA27" s="6"/>
      <c r="AB27" s="15"/>
      <c r="AG27"/>
    </row>
    <row r="28" spans="2:38" s="2" customFormat="1" ht="30" customHeight="1" x14ac:dyDescent="0.2">
      <c r="C28" s="16" t="s">
        <v>192</v>
      </c>
      <c r="D28" s="5"/>
      <c r="E28" s="5"/>
      <c r="F28" s="5"/>
      <c r="G28" s="5"/>
      <c r="H28" s="5"/>
      <c r="I28" s="5"/>
      <c r="J28" s="5"/>
      <c r="K28" s="5"/>
      <c r="L28" s="5"/>
      <c r="M28" s="5"/>
      <c r="N28" s="5"/>
      <c r="O28" s="5"/>
      <c r="P28" s="5"/>
      <c r="Q28" s="5"/>
      <c r="R28" s="5"/>
      <c r="S28" s="5"/>
      <c r="T28" s="5"/>
      <c r="U28" s="5"/>
      <c r="V28" s="5"/>
      <c r="W28" s="5"/>
      <c r="X28" s="5"/>
      <c r="Y28" s="5"/>
      <c r="Z28" s="5"/>
      <c r="AA28" s="5"/>
      <c r="AB28" s="17"/>
      <c r="AG28"/>
    </row>
    <row r="29" spans="2:38" s="2" customFormat="1" ht="30" customHeight="1" x14ac:dyDescent="0.2"/>
    <row r="30" spans="2:38" s="2" customFormat="1" ht="30" customHeight="1" x14ac:dyDescent="0.2"/>
    <row r="31" spans="2:38" s="2" customFormat="1" ht="30" customHeight="1" x14ac:dyDescent="0.2"/>
    <row r="32" spans="2:38" s="2" customFormat="1" ht="20.100000000000001" customHeight="1" x14ac:dyDescent="0.2"/>
    <row r="33" s="2" customFormat="1" ht="20.100000000000001" customHeight="1" x14ac:dyDescent="0.2"/>
    <row r="34" s="2" customFormat="1" ht="20.100000000000001" customHeight="1" x14ac:dyDescent="0.2"/>
    <row r="35" s="2" customFormat="1" ht="20.100000000000001" customHeight="1" x14ac:dyDescent="0.2"/>
    <row r="36" s="2" customFormat="1" ht="20.100000000000001" customHeight="1" x14ac:dyDescent="0.2"/>
    <row r="37" s="2" customFormat="1" ht="20.100000000000001" customHeight="1" x14ac:dyDescent="0.2"/>
    <row r="38" s="2" customFormat="1" ht="20.100000000000001" customHeight="1" x14ac:dyDescent="0.2"/>
    <row r="39" s="2" customFormat="1" ht="20.100000000000001" customHeight="1" x14ac:dyDescent="0.2"/>
    <row r="40" s="2" customFormat="1" ht="20.100000000000001" customHeight="1" x14ac:dyDescent="0.2"/>
    <row r="41" s="2" customFormat="1" ht="20.100000000000001" customHeight="1" x14ac:dyDescent="0.2"/>
    <row r="42" s="2" customFormat="1" ht="20.100000000000001" customHeight="1" x14ac:dyDescent="0.2"/>
    <row r="43" s="2" customFormat="1" ht="20.100000000000001" customHeight="1" x14ac:dyDescent="0.2"/>
    <row r="44" s="2" customFormat="1" ht="20.100000000000001" customHeight="1" x14ac:dyDescent="0.2"/>
    <row r="45" s="2" customFormat="1" ht="20.100000000000001" customHeight="1" x14ac:dyDescent="0.2"/>
    <row r="46" s="2" customFormat="1" ht="20.100000000000001" customHeight="1" x14ac:dyDescent="0.2"/>
    <row r="47" s="2" customFormat="1" ht="20.100000000000001" customHeight="1" x14ac:dyDescent="0.2"/>
    <row r="48" s="2" customFormat="1" ht="20.100000000000001" customHeight="1" x14ac:dyDescent="0.2"/>
    <row r="49" s="2" customFormat="1" ht="20.100000000000001" customHeight="1" x14ac:dyDescent="0.2"/>
    <row r="50" s="2" customFormat="1" ht="20.100000000000001" customHeight="1" x14ac:dyDescent="0.2"/>
    <row r="51" s="2" customFormat="1" ht="20.100000000000001" customHeight="1" x14ac:dyDescent="0.2"/>
    <row r="52" s="2" customFormat="1" ht="20.100000000000001" customHeight="1" x14ac:dyDescent="0.2"/>
    <row r="53" s="2" customFormat="1" ht="20.100000000000001" customHeight="1" x14ac:dyDescent="0.2"/>
    <row r="54" s="2" customFormat="1" ht="20.100000000000001" customHeight="1" x14ac:dyDescent="0.2"/>
    <row r="55" s="2" customFormat="1" ht="20.100000000000001" customHeight="1" x14ac:dyDescent="0.2"/>
    <row r="56" s="2" customFormat="1" ht="20.100000000000001" customHeight="1" x14ac:dyDescent="0.2"/>
    <row r="57" s="2" customFormat="1" ht="20.100000000000001" customHeight="1" x14ac:dyDescent="0.2"/>
    <row r="58" s="2" customFormat="1" ht="20.100000000000001" customHeight="1" x14ac:dyDescent="0.2"/>
    <row r="59" s="2" customFormat="1" ht="20.100000000000001" customHeight="1" x14ac:dyDescent="0.2"/>
    <row r="60" s="2" customFormat="1" ht="20.100000000000001" customHeight="1" x14ac:dyDescent="0.2"/>
    <row r="61" s="2" customFormat="1" ht="20.100000000000001" customHeight="1" x14ac:dyDescent="0.2"/>
    <row r="62" s="2" customFormat="1" ht="20.100000000000001" customHeight="1" x14ac:dyDescent="0.2"/>
    <row r="63" s="2" customFormat="1" ht="20.100000000000001" customHeight="1" x14ac:dyDescent="0.2"/>
    <row r="64" s="2" customFormat="1" ht="20.100000000000001" customHeight="1" x14ac:dyDescent="0.2"/>
    <row r="65" s="2" customFormat="1" ht="20.100000000000001" customHeight="1" x14ac:dyDescent="0.2"/>
    <row r="66" s="2" customFormat="1" ht="20.100000000000001" customHeight="1" x14ac:dyDescent="0.2"/>
    <row r="67" s="2" customFormat="1" ht="20.100000000000001" customHeight="1" x14ac:dyDescent="0.2"/>
    <row r="68" s="2" customFormat="1" ht="20.100000000000001" customHeight="1" x14ac:dyDescent="0.2"/>
    <row r="69" s="2" customFormat="1" ht="20.100000000000001" customHeight="1" x14ac:dyDescent="0.2"/>
    <row r="70" s="2" customFormat="1" ht="20.100000000000001" customHeight="1" x14ac:dyDescent="0.2"/>
    <row r="71" s="2" customFormat="1" ht="20.100000000000001" customHeight="1" x14ac:dyDescent="0.2"/>
    <row r="72" s="2" customFormat="1" ht="20.100000000000001" customHeight="1" x14ac:dyDescent="0.2"/>
    <row r="73" s="2" customFormat="1" ht="20.100000000000001" customHeight="1" x14ac:dyDescent="0.2"/>
    <row r="74" s="2" customFormat="1" ht="20.100000000000001" customHeight="1" x14ac:dyDescent="0.2"/>
    <row r="75" s="2" customFormat="1" ht="20.100000000000001" customHeight="1" x14ac:dyDescent="0.2"/>
    <row r="76" s="2" customFormat="1" ht="20.100000000000001" customHeight="1" x14ac:dyDescent="0.2"/>
    <row r="77" s="2" customFormat="1" ht="20.100000000000001" customHeight="1" x14ac:dyDescent="0.2"/>
    <row r="78" s="2" customFormat="1" ht="20.100000000000001" customHeight="1" x14ac:dyDescent="0.2"/>
    <row r="79" s="2" customFormat="1" ht="20.100000000000001" customHeight="1" x14ac:dyDescent="0.2"/>
    <row r="80" s="2" customFormat="1" ht="20.100000000000001" customHeight="1" x14ac:dyDescent="0.2"/>
    <row r="81" s="2" customFormat="1" ht="20.100000000000001" customHeight="1" x14ac:dyDescent="0.2"/>
    <row r="82" s="2" customFormat="1" ht="20.100000000000001" customHeight="1" x14ac:dyDescent="0.2"/>
    <row r="83" s="2" customFormat="1" ht="20.100000000000001" customHeight="1" x14ac:dyDescent="0.2"/>
    <row r="84" s="2" customFormat="1" ht="20.100000000000001" customHeight="1" x14ac:dyDescent="0.2"/>
    <row r="85" s="2" customFormat="1" ht="20.100000000000001" customHeight="1" x14ac:dyDescent="0.2"/>
    <row r="86" s="2" customFormat="1" ht="20.100000000000001" customHeight="1" x14ac:dyDescent="0.2"/>
    <row r="87" s="2" customFormat="1" ht="20.100000000000001" customHeight="1" x14ac:dyDescent="0.2"/>
    <row r="88" s="2" customFormat="1" ht="20.100000000000001" customHeight="1" x14ac:dyDescent="0.2"/>
    <row r="89" s="2" customFormat="1" ht="20.100000000000001" customHeight="1" x14ac:dyDescent="0.2"/>
    <row r="90" s="2" customFormat="1" ht="20.100000000000001" customHeight="1" x14ac:dyDescent="0.2"/>
    <row r="91" s="2" customFormat="1" ht="20.100000000000001" customHeight="1" x14ac:dyDescent="0.2"/>
    <row r="92" s="2" customFormat="1" ht="20.100000000000001" customHeight="1" x14ac:dyDescent="0.2"/>
    <row r="93" s="2" customFormat="1" ht="20.100000000000001" customHeight="1" x14ac:dyDescent="0.2"/>
    <row r="94" s="2" customFormat="1" ht="20.100000000000001" customHeight="1" x14ac:dyDescent="0.2"/>
    <row r="95" s="2" customFormat="1" ht="20.100000000000001" customHeight="1" x14ac:dyDescent="0.2"/>
    <row r="96" s="2" customFormat="1" ht="20.100000000000001" customHeight="1" x14ac:dyDescent="0.2"/>
    <row r="97" s="2" customFormat="1" ht="20.100000000000001" customHeight="1" x14ac:dyDescent="0.2"/>
    <row r="98" s="2" customFormat="1" ht="20.100000000000001" customHeight="1" x14ac:dyDescent="0.2"/>
    <row r="99" s="2" customFormat="1" ht="20.100000000000001" customHeight="1" x14ac:dyDescent="0.2"/>
    <row r="100" s="2" customFormat="1" ht="20.100000000000001" customHeight="1" x14ac:dyDescent="0.2"/>
    <row r="101" s="2" customFormat="1" ht="20.100000000000001" customHeight="1" x14ac:dyDescent="0.2"/>
    <row r="102" s="2" customFormat="1" ht="20.100000000000001" customHeight="1" x14ac:dyDescent="0.2"/>
    <row r="103" s="2" customFormat="1" ht="20.100000000000001" customHeight="1" x14ac:dyDescent="0.2"/>
    <row r="104" s="2" customFormat="1" ht="20.100000000000001" customHeight="1" x14ac:dyDescent="0.2"/>
    <row r="105" s="2" customFormat="1" ht="20.100000000000001" customHeight="1" x14ac:dyDescent="0.2"/>
    <row r="106" s="2" customFormat="1" ht="20.100000000000001" customHeight="1" x14ac:dyDescent="0.2"/>
    <row r="107" s="2" customFormat="1" ht="20.100000000000001" customHeight="1" x14ac:dyDescent="0.2"/>
    <row r="108" s="2" customFormat="1" ht="20.100000000000001" customHeight="1" x14ac:dyDescent="0.2"/>
    <row r="109" s="2" customFormat="1" ht="20.100000000000001" customHeight="1" x14ac:dyDescent="0.2"/>
    <row r="110" s="2" customFormat="1" ht="20.100000000000001" customHeight="1" x14ac:dyDescent="0.2"/>
    <row r="111" s="2" customFormat="1" ht="20.100000000000001" customHeight="1" x14ac:dyDescent="0.2"/>
    <row r="112" s="2" customFormat="1" ht="20.100000000000001" customHeight="1" x14ac:dyDescent="0.2"/>
    <row r="113" s="2" customFormat="1" ht="20.100000000000001" customHeight="1" x14ac:dyDescent="0.2"/>
    <row r="114" s="2" customFormat="1" ht="20.100000000000001" customHeight="1" x14ac:dyDescent="0.2"/>
    <row r="115" s="2" customFormat="1" ht="20.100000000000001" customHeight="1" x14ac:dyDescent="0.2"/>
    <row r="116" s="2" customFormat="1" ht="20.100000000000001" customHeight="1" x14ac:dyDescent="0.2"/>
    <row r="117" s="2" customFormat="1" ht="20.100000000000001" customHeight="1" x14ac:dyDescent="0.2"/>
    <row r="118" s="2" customFormat="1" ht="20.100000000000001" customHeight="1" x14ac:dyDescent="0.2"/>
    <row r="119" s="2" customFormat="1" ht="20.100000000000001" customHeight="1" x14ac:dyDescent="0.2"/>
    <row r="120" s="2" customFormat="1" ht="20.100000000000001" customHeight="1" x14ac:dyDescent="0.2"/>
    <row r="121" s="2" customFormat="1" ht="20.100000000000001" customHeight="1" x14ac:dyDescent="0.2"/>
    <row r="122" s="2" customFormat="1" ht="20.100000000000001" customHeight="1" x14ac:dyDescent="0.2"/>
    <row r="123" s="2" customFormat="1" ht="20.100000000000001" customHeight="1" x14ac:dyDescent="0.2"/>
    <row r="124" s="2" customFormat="1" ht="20.100000000000001" customHeight="1" x14ac:dyDescent="0.2"/>
    <row r="125" s="2" customFormat="1" ht="20.100000000000001" customHeight="1" x14ac:dyDescent="0.2"/>
    <row r="126" s="2" customFormat="1" ht="20.100000000000001" customHeight="1" x14ac:dyDescent="0.2"/>
    <row r="127" s="2" customFormat="1" ht="20.100000000000001" customHeight="1" x14ac:dyDescent="0.2"/>
    <row r="128" s="2" customFormat="1" ht="20.100000000000001" customHeight="1" x14ac:dyDescent="0.2"/>
    <row r="129" s="2" customFormat="1" ht="20.100000000000001" customHeight="1" x14ac:dyDescent="0.2"/>
    <row r="130" s="2" customFormat="1" ht="20.100000000000001" customHeight="1" x14ac:dyDescent="0.2"/>
    <row r="131" s="2" customFormat="1" ht="20.100000000000001" customHeight="1" x14ac:dyDescent="0.2"/>
    <row r="132" s="2" customFormat="1" ht="20.100000000000001" customHeight="1" x14ac:dyDescent="0.2"/>
    <row r="133" s="2" customFormat="1" ht="20.100000000000001" customHeight="1" x14ac:dyDescent="0.2"/>
    <row r="134" s="2" customFormat="1" ht="20.100000000000001" customHeight="1" x14ac:dyDescent="0.2"/>
    <row r="135" s="2" customFormat="1" ht="20.100000000000001" customHeight="1" x14ac:dyDescent="0.2"/>
    <row r="136" s="2" customFormat="1" ht="20.100000000000001" customHeight="1" x14ac:dyDescent="0.2"/>
    <row r="137" s="2" customFormat="1" ht="20.100000000000001" customHeight="1" x14ac:dyDescent="0.2"/>
    <row r="138" s="2" customFormat="1" ht="20.100000000000001" customHeight="1" x14ac:dyDescent="0.2"/>
    <row r="139" s="2" customFormat="1" ht="20.100000000000001" customHeight="1" x14ac:dyDescent="0.2"/>
    <row r="140" s="2" customFormat="1" ht="20.100000000000001" customHeight="1" x14ac:dyDescent="0.2"/>
    <row r="141" s="2" customFormat="1" ht="20.100000000000001" customHeight="1" x14ac:dyDescent="0.2"/>
    <row r="142" s="3" customFormat="1" ht="20.100000000000001" customHeight="1" x14ac:dyDescent="0.15"/>
    <row r="143" s="3" customFormat="1" ht="20.100000000000001" customHeight="1" x14ac:dyDescent="0.15"/>
    <row r="144" ht="20.100000000000001" customHeight="1" x14ac:dyDescent="0.2"/>
    <row r="145" ht="20.100000000000001" customHeight="1" x14ac:dyDescent="0.2"/>
    <row r="146" ht="20.100000000000001" customHeight="1" x14ac:dyDescent="0.2"/>
    <row r="147" ht="20.100000000000001" customHeight="1" x14ac:dyDescent="0.2"/>
  </sheetData>
  <sheetProtection algorithmName="SHA-512" hashValue="CnwvO1rtUwwRoHxYnqBbPBY2BibzRKmwvJSdJqRPkLo/zkGSFEEHybI20swpnBnN+CoI5pAtNx9V+RQNfPz8Qw==" saltValue="nyQXOMZ7A/9plceFuutn7g==" spinCount="100000" sheet="1" selectLockedCells="1"/>
  <mergeCells count="49">
    <mergeCell ref="B16:I16"/>
    <mergeCell ref="J16:N16"/>
    <mergeCell ref="O16:S16"/>
    <mergeCell ref="T16:X16"/>
    <mergeCell ref="B17:I17"/>
    <mergeCell ref="J17:L17"/>
    <mergeCell ref="M17:N17"/>
    <mergeCell ref="O17:Q17"/>
    <mergeCell ref="R17:S17"/>
    <mergeCell ref="G25:H25"/>
    <mergeCell ref="B18:I18"/>
    <mergeCell ref="J18:L18"/>
    <mergeCell ref="M18:N18"/>
    <mergeCell ref="O18:Q18"/>
    <mergeCell ref="B11:I11"/>
    <mergeCell ref="J11:L11"/>
    <mergeCell ref="M11:N11"/>
    <mergeCell ref="B12:I12"/>
    <mergeCell ref="J12:L12"/>
    <mergeCell ref="M12:N12"/>
    <mergeCell ref="B8:I8"/>
    <mergeCell ref="AG4:AL4"/>
    <mergeCell ref="AI5:AJ5"/>
    <mergeCell ref="AK5:AL5"/>
    <mergeCell ref="B2:AC2"/>
    <mergeCell ref="B3:AC3"/>
    <mergeCell ref="B7:I7"/>
    <mergeCell ref="K7:W7"/>
    <mergeCell ref="X7:Z7"/>
    <mergeCell ref="B6:I6"/>
    <mergeCell ref="K6:AC6"/>
    <mergeCell ref="M8:N8"/>
    <mergeCell ref="O8:P8"/>
    <mergeCell ref="R8:S8"/>
    <mergeCell ref="T8:U8"/>
    <mergeCell ref="AF19:AF21"/>
    <mergeCell ref="AA16:AC16"/>
    <mergeCell ref="AA17:AC17"/>
    <mergeCell ref="AA18:AC18"/>
    <mergeCell ref="AG5:AH5"/>
    <mergeCell ref="AA7:AC7"/>
    <mergeCell ref="AB12:AC12"/>
    <mergeCell ref="X12:AA12"/>
    <mergeCell ref="T18:X18"/>
    <mergeCell ref="T17:X17"/>
    <mergeCell ref="O12:W12"/>
    <mergeCell ref="R18:S18"/>
    <mergeCell ref="X11:AA11"/>
    <mergeCell ref="O11:W11"/>
  </mergeCells>
  <phoneticPr fontId="2"/>
  <dataValidations count="1">
    <dataValidation type="list" allowBlank="1" showInputMessage="1" showErrorMessage="1" sqref="AA7:AC7">
      <formula1>"１地域,２地域,３地域,４地域,５地域,６地域,７地域,８地域"</formula1>
    </dataValidation>
  </dataValidations>
  <pageMargins left="0.59055118110236227" right="0.39370078740157483" top="0.98425196850393704" bottom="0.78740157480314965" header="0.31496062992125984" footer="0.39370078740157483"/>
  <pageSetup paperSize="9" scale="90" orientation="portrait" horizontalDpi="300" verticalDpi="300" r:id="rId1"/>
  <headerFooter>
    <oddHeader>&amp;Rver. 1.8 [H28]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14" r:id="rId4" name="Option Button 6">
              <controlPr defaultSize="0" autoFill="0" autoLine="0" autoPict="0">
                <anchor moveWithCells="1">
                  <from>
                    <xdr:col>25</xdr:col>
                    <xdr:colOff>30480</xdr:colOff>
                    <xdr:row>15</xdr:row>
                    <xdr:rowOff>83820</xdr:rowOff>
                  </from>
                  <to>
                    <xdr:col>26</xdr:col>
                    <xdr:colOff>60960</xdr:colOff>
                    <xdr:row>15</xdr:row>
                    <xdr:rowOff>297180</xdr:rowOff>
                  </to>
                </anchor>
              </controlPr>
            </control>
          </mc:Choice>
        </mc:AlternateContent>
        <mc:AlternateContent xmlns:mc="http://schemas.openxmlformats.org/markup-compatibility/2006">
          <mc:Choice Requires="x14">
            <control shapeId="94215" r:id="rId5" name="Option Button 7">
              <controlPr defaultSize="0" autoFill="0" autoLine="0" autoPict="0">
                <anchor moveWithCells="1">
                  <from>
                    <xdr:col>25</xdr:col>
                    <xdr:colOff>30480</xdr:colOff>
                    <xdr:row>16</xdr:row>
                    <xdr:rowOff>83820</xdr:rowOff>
                  </from>
                  <to>
                    <xdr:col>26</xdr:col>
                    <xdr:colOff>60960</xdr:colOff>
                    <xdr:row>16</xdr:row>
                    <xdr:rowOff>297180</xdr:rowOff>
                  </to>
                </anchor>
              </controlPr>
            </control>
          </mc:Choice>
        </mc:AlternateContent>
        <mc:AlternateContent xmlns:mc="http://schemas.openxmlformats.org/markup-compatibility/2006">
          <mc:Choice Requires="x14">
            <control shapeId="94216" r:id="rId6" name="Option Button 8">
              <controlPr defaultSize="0" autoFill="0" autoLine="0" autoPict="0">
                <anchor moveWithCells="1">
                  <from>
                    <xdr:col>25</xdr:col>
                    <xdr:colOff>30480</xdr:colOff>
                    <xdr:row>17</xdr:row>
                    <xdr:rowOff>83820</xdr:rowOff>
                  </from>
                  <to>
                    <xdr:col>26</xdr:col>
                    <xdr:colOff>60960</xdr:colOff>
                    <xdr:row>17</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O106"/>
  <sheetViews>
    <sheetView showGridLines="0" view="pageBreakPreview" topLeftCell="A27" zoomScaleNormal="100" zoomScaleSheetLayoutView="100" workbookViewId="0">
      <selection activeCell="R33" sqref="R33:S33"/>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76</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220">
        <f>IF(共通条件・結果!AA7="８地域","0.325",IF(共通条件・結果!AA7="７地域",0.307,IF(共通条件・結果!AA7="６地域",0.341,IF(共通条件・結果!AA7="５地域",0.373,IF(共通条件・結果!AA7="４地域",0.322,IF(共通条件・結果!AA7="３地域",0.335,IF(共通条件・結果!AA7="２地域",0.341,IF(共通条件・結果!AA7="１地域",0.329))))))))</f>
        <v>0.34100000000000003</v>
      </c>
      <c r="W4" s="221"/>
      <c r="X4" s="222">
        <f>IF(共通条件・結果!AA7="８地域","-",IF(共通条件・結果!AA7="７地域",0.227,IF(共通条件・結果!AA7="６地域",0.261,IF(共通条件・結果!AA7="５地域",0.238,IF(共通条件・結果!AA7="４地域",0.256,IF(共通条件・結果!AA7="３地域",0.284,IF(共通条件・結果!AA7="２地域",0.263,IF(共通条件・結果!AA7="１地域",0.26))))))))</f>
        <v>0.26300000000000001</v>
      </c>
      <c r="Y4" s="223"/>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t="s">
        <v>239</v>
      </c>
      <c r="C8" s="263"/>
      <c r="D8" s="264">
        <v>0.78</v>
      </c>
      <c r="E8" s="265"/>
      <c r="F8" s="265">
        <v>0.56999999999999995</v>
      </c>
      <c r="G8" s="266"/>
      <c r="H8" s="267">
        <v>1.6</v>
      </c>
      <c r="I8" s="267"/>
      <c r="J8" s="267">
        <v>0.39</v>
      </c>
      <c r="K8" s="267"/>
      <c r="L8" s="268"/>
      <c r="M8" s="268"/>
      <c r="N8" s="251"/>
      <c r="O8" s="252"/>
      <c r="P8" s="257"/>
      <c r="Q8" s="258"/>
      <c r="R8" s="259"/>
      <c r="S8" s="260"/>
      <c r="T8" s="261"/>
      <c r="U8" s="257"/>
      <c r="V8" s="256">
        <f>IF(D8="","",AD8)</f>
        <v>5.4988439220000004E-2</v>
      </c>
      <c r="W8" s="256"/>
      <c r="X8" s="256">
        <f t="shared" ref="X8:X19" si="0">IF(D8="","",IF(ISERROR(AE8),"-",AE8))</f>
        <v>2.325733722E-2</v>
      </c>
      <c r="Y8" s="256"/>
      <c r="Z8" s="256">
        <f>IF(D8="","",D8*F8*AN8)</f>
        <v>0.71135999999999999</v>
      </c>
      <c r="AA8" s="262"/>
      <c r="AD8" s="37">
        <f>D8*F8*J8*$V$4*AH8</f>
        <v>5.4988439220000004E-2</v>
      </c>
      <c r="AE8" s="37">
        <f>D8*F8*J8*$X$4*AI8</f>
        <v>2.325733722E-2</v>
      </c>
      <c r="AG8" s="40" t="b">
        <v>1</v>
      </c>
      <c r="AH8" s="37" t="str">
        <f>IF(AG8=TRUE,"0.93",IF(ISERROR(AK8),"エラー",IF(AK8&gt;0.93,"0.93",AK8)))</f>
        <v>0.93</v>
      </c>
      <c r="AI8" s="37" t="str">
        <f>IF(AG8=TRUE,"0.51",IF(ISERROR(AL8),"エラー",IF(AL8&gt;0.72,"0.72",AL8)))</f>
        <v>0.51</v>
      </c>
      <c r="AK8" s="37" t="e">
        <f>0.01*(16+24*(2*R8+T8)/P8)</f>
        <v>#DIV/0!</v>
      </c>
      <c r="AL8" s="37" t="e">
        <f>0.01*(10+15*(2*R8+T8)/P8)</f>
        <v>#DIV/0!</v>
      </c>
      <c r="AN8" s="37">
        <f>IF(共通条件・結果!$AA$7="８地域",H8,IF(AO8="FALSE",H8,IF(L8="風除室",1/((1/H8)+0.1),0.5*H8+0.5*(1/((1/H8)+AO8)))))</f>
        <v>1.6</v>
      </c>
      <c r="AO8" s="39" t="str">
        <f t="shared" ref="AO8:AO19" si="1">IF(L8="","FALSE",IF(L8="雨戸",0.1,IF(L8="ｼｬｯﾀｰ",0.1,IF(L8="障子",0.18,IF(L8="風除室",0.1)))))</f>
        <v>FALSE</v>
      </c>
    </row>
    <row r="9" spans="2:41" s="37" customFormat="1" ht="21.9" customHeight="1" x14ac:dyDescent="0.2">
      <c r="B9" s="185" t="s">
        <v>240</v>
      </c>
      <c r="C9" s="186"/>
      <c r="D9" s="187">
        <v>0.78</v>
      </c>
      <c r="E9" s="188"/>
      <c r="F9" s="188">
        <v>0.56999999999999995</v>
      </c>
      <c r="G9" s="189"/>
      <c r="H9" s="190">
        <v>1.6</v>
      </c>
      <c r="I9" s="190"/>
      <c r="J9" s="190">
        <v>0.39</v>
      </c>
      <c r="K9" s="190"/>
      <c r="L9" s="203"/>
      <c r="M9" s="203"/>
      <c r="N9" s="213"/>
      <c r="O9" s="215"/>
      <c r="P9" s="269"/>
      <c r="Q9" s="206"/>
      <c r="R9" s="270"/>
      <c r="S9" s="271"/>
      <c r="T9" s="179"/>
      <c r="U9" s="269"/>
      <c r="V9" s="175">
        <f t="shared" ref="V9:V19" si="2">IF(D9="","",AD9)</f>
        <v>5.4988439220000004E-2</v>
      </c>
      <c r="W9" s="175"/>
      <c r="X9" s="175">
        <f t="shared" si="0"/>
        <v>2.325733722E-2</v>
      </c>
      <c r="Y9" s="175"/>
      <c r="Z9" s="175">
        <f t="shared" ref="Z9:Z19" si="3">IF(D9="","",D9*F9*AN9)</f>
        <v>0.71135999999999999</v>
      </c>
      <c r="AA9" s="176"/>
      <c r="AD9" s="37">
        <f t="shared" ref="AD9:AD19" si="4">D9*F9*J9*$V$4*AH9</f>
        <v>5.4988439220000004E-2</v>
      </c>
      <c r="AE9" s="37">
        <f t="shared" ref="AE9:AE19" si="5">D9*F9*J9*$X$4*AI9</f>
        <v>2.325733722E-2</v>
      </c>
      <c r="AG9" s="40" t="b">
        <v>1</v>
      </c>
      <c r="AH9" s="37" t="str">
        <f t="shared" ref="AH9:AH19" si="6">IF(AG9=TRUE,"0.93",IF(ISERROR(AK9),"エラー",IF(AK9&gt;0.93,"0.93",AK9)))</f>
        <v>0.93</v>
      </c>
      <c r="AI9" s="37" t="str">
        <f t="shared" ref="AI9:AI19" si="7">IF(AG9=TRUE,"0.51",IF(ISERROR(AL9),"エラー",IF(AL9&gt;0.72,"0.72",AL9)))</f>
        <v>0.51</v>
      </c>
      <c r="AK9" s="37" t="e">
        <f t="shared" ref="AK9:AK19" si="8">0.01*(16+24*(2*R9+T9)/P9)</f>
        <v>#DIV/0!</v>
      </c>
      <c r="AL9" s="37" t="e">
        <f t="shared" ref="AL9:AL19" si="9">0.01*(10+15*(2*R9+T9)/P9)</f>
        <v>#DIV/0!</v>
      </c>
      <c r="AN9" s="37">
        <f>IF(共通条件・結果!$AA$7="８地域",H9,IF(AO9="FALSE",H9,IF(L9="風除室",1/((1/H9)+0.1),0.5*H9+0.5*(1/((1/H9)+AO9)))))</f>
        <v>1.6</v>
      </c>
      <c r="AO9" s="39" t="str">
        <f t="shared" si="1"/>
        <v>FALSE</v>
      </c>
    </row>
    <row r="10" spans="2:41" s="37" customFormat="1" ht="21.9" customHeight="1" x14ac:dyDescent="0.2">
      <c r="B10" s="185" t="s">
        <v>241</v>
      </c>
      <c r="C10" s="186"/>
      <c r="D10" s="187">
        <v>0.78</v>
      </c>
      <c r="E10" s="188"/>
      <c r="F10" s="188">
        <v>0.56999999999999995</v>
      </c>
      <c r="G10" s="189"/>
      <c r="H10" s="190">
        <v>1.6</v>
      </c>
      <c r="I10" s="190"/>
      <c r="J10" s="190">
        <v>0.39</v>
      </c>
      <c r="K10" s="190"/>
      <c r="L10" s="203"/>
      <c r="M10" s="203"/>
      <c r="N10" s="213"/>
      <c r="O10" s="215"/>
      <c r="P10" s="206"/>
      <c r="Q10" s="178"/>
      <c r="R10" s="177"/>
      <c r="S10" s="178"/>
      <c r="T10" s="177"/>
      <c r="U10" s="179"/>
      <c r="V10" s="175">
        <f>IF(D10="","",AD10)</f>
        <v>5.4988439220000004E-2</v>
      </c>
      <c r="W10" s="175"/>
      <c r="X10" s="175">
        <f t="shared" si="0"/>
        <v>2.325733722E-2</v>
      </c>
      <c r="Y10" s="175"/>
      <c r="Z10" s="175">
        <f>IF(D10="","",D10*F10*AN10)</f>
        <v>0.71135999999999999</v>
      </c>
      <c r="AA10" s="176"/>
      <c r="AD10" s="37">
        <f t="shared" ref="AD10:AD15" si="10">D10*F10*J10*$V$4*AH10</f>
        <v>5.4988439220000004E-2</v>
      </c>
      <c r="AE10" s="37">
        <f t="shared" ref="AE10:AE15" si="11">D10*F10*J10*$X$4*AI10</f>
        <v>2.325733722E-2</v>
      </c>
      <c r="AG10" s="40" t="b">
        <v>1</v>
      </c>
      <c r="AH10" s="37" t="str">
        <f t="shared" si="6"/>
        <v>0.93</v>
      </c>
      <c r="AI10" s="37" t="str">
        <f t="shared" si="7"/>
        <v>0.51</v>
      </c>
      <c r="AK10" s="37" t="e">
        <f t="shared" ref="AK10:AK15" si="12">0.01*(16+24*(2*R10+T10)/P10)</f>
        <v>#DIV/0!</v>
      </c>
      <c r="AL10" s="37" t="e">
        <f t="shared" ref="AL10:AL15" si="13">0.01*(10+15*(2*R10+T10)/P10)</f>
        <v>#DIV/0!</v>
      </c>
      <c r="AN10" s="37">
        <f>IF(共通条件・結果!$AA$7="８地域",H10,IF(AO10="FALSE",H10,IF(L10="風除室",1/((1/H10)+0.1),0.5*H10+0.5*(1/((1/H10)+AO10)))))</f>
        <v>1.6</v>
      </c>
      <c r="AO10" s="39" t="str">
        <f t="shared" ref="AO10:AO15" si="14">IF(L10="","FALSE",IF(L10="雨戸",0.1,IF(L10="ｼｬｯﾀｰ",0.1,IF(L10="障子",0.18,IF(L10="風除室",0.1)))))</f>
        <v>FALSE</v>
      </c>
    </row>
    <row r="11" spans="2:41" s="37" customFormat="1" ht="21.9" customHeight="1" x14ac:dyDescent="0.2">
      <c r="B11" s="185" t="s">
        <v>242</v>
      </c>
      <c r="C11" s="186"/>
      <c r="D11" s="187">
        <v>0.78</v>
      </c>
      <c r="E11" s="188"/>
      <c r="F11" s="188">
        <v>0.56999999999999995</v>
      </c>
      <c r="G11" s="189"/>
      <c r="H11" s="190">
        <v>1.6</v>
      </c>
      <c r="I11" s="190"/>
      <c r="J11" s="190">
        <v>0.39</v>
      </c>
      <c r="K11" s="190"/>
      <c r="L11" s="203"/>
      <c r="M11" s="203"/>
      <c r="N11" s="213"/>
      <c r="O11" s="215"/>
      <c r="P11" s="206"/>
      <c r="Q11" s="178"/>
      <c r="R11" s="177"/>
      <c r="S11" s="178"/>
      <c r="T11" s="177"/>
      <c r="U11" s="179"/>
      <c r="V11" s="175">
        <f>IF(D11="","",AD11)</f>
        <v>5.4988439220000004E-2</v>
      </c>
      <c r="W11" s="175"/>
      <c r="X11" s="175">
        <f t="shared" si="0"/>
        <v>2.325733722E-2</v>
      </c>
      <c r="Y11" s="175"/>
      <c r="Z11" s="175">
        <f>IF(D11="","",D11*F11*AN11)</f>
        <v>0.71135999999999999</v>
      </c>
      <c r="AA11" s="176"/>
      <c r="AD11" s="37">
        <f t="shared" si="10"/>
        <v>5.4988439220000004E-2</v>
      </c>
      <c r="AE11" s="37">
        <f t="shared" si="11"/>
        <v>2.325733722E-2</v>
      </c>
      <c r="AG11" s="40" t="b">
        <v>1</v>
      </c>
      <c r="AH11" s="37" t="str">
        <f t="shared" si="6"/>
        <v>0.93</v>
      </c>
      <c r="AI11" s="37" t="str">
        <f t="shared" si="7"/>
        <v>0.51</v>
      </c>
      <c r="AK11" s="37" t="e">
        <f t="shared" si="12"/>
        <v>#DIV/0!</v>
      </c>
      <c r="AL11" s="37" t="e">
        <f t="shared" si="13"/>
        <v>#DIV/0!</v>
      </c>
      <c r="AN11" s="37">
        <f>IF(共通条件・結果!$AA$7="８地域",H11,IF(AO11="FALSE",H11,IF(L11="風除室",1/((1/H11)+0.1),0.5*H11+0.5*(1/((1/H11)+AO11)))))</f>
        <v>1.6</v>
      </c>
      <c r="AO11" s="39" t="str">
        <f t="shared" si="14"/>
        <v>FALSE</v>
      </c>
    </row>
    <row r="12" spans="2:41" s="37" customFormat="1" ht="21.9" customHeight="1" x14ac:dyDescent="0.2">
      <c r="B12" s="185" t="s">
        <v>243</v>
      </c>
      <c r="C12" s="205"/>
      <c r="D12" s="207">
        <v>1.69</v>
      </c>
      <c r="E12" s="208"/>
      <c r="F12" s="209">
        <v>1.37</v>
      </c>
      <c r="G12" s="210"/>
      <c r="H12" s="190">
        <v>1.6</v>
      </c>
      <c r="I12" s="190"/>
      <c r="J12" s="190">
        <v>0.39</v>
      </c>
      <c r="K12" s="190"/>
      <c r="L12" s="211"/>
      <c r="M12" s="212"/>
      <c r="N12" s="213"/>
      <c r="O12" s="214"/>
      <c r="P12" s="206"/>
      <c r="Q12" s="178"/>
      <c r="R12" s="177"/>
      <c r="S12" s="178"/>
      <c r="T12" s="177"/>
      <c r="U12" s="179"/>
      <c r="V12" s="180">
        <f>IF(D12="","",AD12)</f>
        <v>0.2863579247100001</v>
      </c>
      <c r="W12" s="181"/>
      <c r="X12" s="180">
        <f t="shared" ref="X12" si="15">IF(D12="","",IF(ISERROR(AE12),"-",AE12))</f>
        <v>0.12111496371000001</v>
      </c>
      <c r="Y12" s="181"/>
      <c r="Z12" s="180">
        <f>IF(D12="","",D12*F12*AN12)</f>
        <v>3.7044800000000002</v>
      </c>
      <c r="AA12" s="182"/>
      <c r="AD12" s="37">
        <f t="shared" si="10"/>
        <v>0.2863579247100001</v>
      </c>
      <c r="AE12" s="37">
        <f t="shared" si="11"/>
        <v>0.12111496371000001</v>
      </c>
      <c r="AG12" s="40" t="b">
        <v>1</v>
      </c>
      <c r="AH12" s="37" t="str">
        <f t="shared" ref="AH12" si="16">IF(AG12=TRUE,"0.93",IF(ISERROR(AK12),"エラー",IF(AK12&gt;0.93,"0.93",AK12)))</f>
        <v>0.93</v>
      </c>
      <c r="AI12" s="37" t="str">
        <f t="shared" ref="AI12" si="17">IF(AG12=TRUE,"0.51",IF(ISERROR(AL12),"エラー",IF(AL12&gt;0.72,"0.72",AL12)))</f>
        <v>0.51</v>
      </c>
      <c r="AK12" s="37" t="e">
        <f t="shared" si="12"/>
        <v>#DIV/0!</v>
      </c>
      <c r="AL12" s="37" t="e">
        <f t="shared" si="13"/>
        <v>#DIV/0!</v>
      </c>
      <c r="AN12" s="37">
        <f>IF(共通条件・結果!$AA$7="８地域",H12,IF(AO12="FALSE",H12,IF(L12="風除室",1/((1/H12)+0.1),0.5*H12+0.5*(1/((1/H12)+AO12)))))</f>
        <v>1.6</v>
      </c>
      <c r="AO12" s="94" t="str">
        <f t="shared" si="14"/>
        <v>FALSE</v>
      </c>
    </row>
    <row r="13" spans="2:41" s="37" customFormat="1" ht="21.9" customHeight="1" x14ac:dyDescent="0.2">
      <c r="B13" s="185" t="s">
        <v>244</v>
      </c>
      <c r="C13" s="205"/>
      <c r="D13" s="207">
        <v>1.69</v>
      </c>
      <c r="E13" s="208"/>
      <c r="F13" s="209">
        <v>1.37</v>
      </c>
      <c r="G13" s="210"/>
      <c r="H13" s="190">
        <v>1.6</v>
      </c>
      <c r="I13" s="190"/>
      <c r="J13" s="190">
        <v>0.39</v>
      </c>
      <c r="K13" s="190"/>
      <c r="L13" s="211"/>
      <c r="M13" s="212"/>
      <c r="N13" s="213"/>
      <c r="O13" s="214"/>
      <c r="P13" s="206"/>
      <c r="Q13" s="178"/>
      <c r="R13" s="177"/>
      <c r="S13" s="178"/>
      <c r="T13" s="177"/>
      <c r="U13" s="179"/>
      <c r="V13" s="180">
        <f>IF(D13="","",AD13)</f>
        <v>0.2863579247100001</v>
      </c>
      <c r="W13" s="181"/>
      <c r="X13" s="180">
        <f t="shared" ref="X13" si="18">IF(D13="","",IF(ISERROR(AE13),"-",AE13))</f>
        <v>0.12111496371000001</v>
      </c>
      <c r="Y13" s="181"/>
      <c r="Z13" s="180">
        <f>IF(D13="","",D13*F13*AN13)</f>
        <v>3.7044800000000002</v>
      </c>
      <c r="AA13" s="182"/>
      <c r="AD13" s="37">
        <f t="shared" si="10"/>
        <v>0.2863579247100001</v>
      </c>
      <c r="AE13" s="37">
        <f t="shared" si="11"/>
        <v>0.12111496371000001</v>
      </c>
      <c r="AG13" s="40" t="b">
        <v>1</v>
      </c>
      <c r="AH13" s="37" t="str">
        <f t="shared" ref="AH13" si="19">IF(AG13=TRUE,"0.93",IF(ISERROR(AK13),"エラー",IF(AK13&gt;0.93,"0.93",AK13)))</f>
        <v>0.93</v>
      </c>
      <c r="AI13" s="37" t="str">
        <f t="shared" ref="AI13" si="20">IF(AG13=TRUE,"0.51",IF(ISERROR(AL13),"エラー",IF(AL13&gt;0.72,"0.72",AL13)))</f>
        <v>0.51</v>
      </c>
      <c r="AK13" s="37" t="e">
        <f t="shared" si="12"/>
        <v>#DIV/0!</v>
      </c>
      <c r="AL13" s="37" t="e">
        <f t="shared" si="13"/>
        <v>#DIV/0!</v>
      </c>
      <c r="AN13" s="37">
        <f>IF(共通条件・結果!$AA$7="８地域",H13,IF(AO13="FALSE",H13,IF(L13="風除室",1/((1/H13)+0.1),0.5*H13+0.5*(1/((1/H13)+AO13)))))</f>
        <v>1.6</v>
      </c>
      <c r="AO13" s="94" t="str">
        <f t="shared" si="14"/>
        <v>FALSE</v>
      </c>
    </row>
    <row r="14" spans="2:41" s="37" customFormat="1" ht="21.9" customHeight="1" x14ac:dyDescent="0.2">
      <c r="B14" s="185"/>
      <c r="C14" s="186"/>
      <c r="D14" s="187"/>
      <c r="E14" s="188"/>
      <c r="F14" s="188"/>
      <c r="G14" s="189"/>
      <c r="H14" s="190"/>
      <c r="I14" s="190"/>
      <c r="J14" s="190"/>
      <c r="K14" s="190"/>
      <c r="L14" s="203"/>
      <c r="M14" s="203"/>
      <c r="N14" s="213"/>
      <c r="O14" s="215"/>
      <c r="P14" s="206"/>
      <c r="Q14" s="178"/>
      <c r="R14" s="177"/>
      <c r="S14" s="178"/>
      <c r="T14" s="177"/>
      <c r="U14" s="179"/>
      <c r="V14" s="175" t="str">
        <f>IF(D14="","",AD14)</f>
        <v/>
      </c>
      <c r="W14" s="175"/>
      <c r="X14" s="175" t="str">
        <f t="shared" si="0"/>
        <v/>
      </c>
      <c r="Y14" s="175"/>
      <c r="Z14" s="175" t="str">
        <f>IF(D14="","",D14*F14*AN14)</f>
        <v/>
      </c>
      <c r="AA14" s="176"/>
      <c r="AD14" s="37" t="e">
        <f t="shared" si="10"/>
        <v>#VALUE!</v>
      </c>
      <c r="AE14" s="37" t="e">
        <f t="shared" si="11"/>
        <v>#VALUE!</v>
      </c>
      <c r="AG14" s="40" t="b">
        <v>0</v>
      </c>
      <c r="AH14" s="37" t="str">
        <f t="shared" si="6"/>
        <v>エラー</v>
      </c>
      <c r="AI14" s="37" t="str">
        <f t="shared" si="7"/>
        <v>エラー</v>
      </c>
      <c r="AK14" s="37" t="e">
        <f t="shared" si="12"/>
        <v>#DIV/0!</v>
      </c>
      <c r="AL14" s="37" t="e">
        <f t="shared" si="13"/>
        <v>#DIV/0!</v>
      </c>
      <c r="AN14" s="37">
        <f>IF(共通条件・結果!$AA$7="８地域",H14,IF(AO14="FALSE",H14,IF(L14="風除室",1/((1/H14)+0.1),0.5*H14+0.5*(1/((1/H14)+AO14)))))</f>
        <v>0</v>
      </c>
      <c r="AO14" s="39" t="str">
        <f t="shared" si="14"/>
        <v>FALSE</v>
      </c>
    </row>
    <row r="15" spans="2:41" s="37" customFormat="1" ht="21.9" customHeight="1" x14ac:dyDescent="0.2">
      <c r="B15" s="185"/>
      <c r="C15" s="186"/>
      <c r="D15" s="187"/>
      <c r="E15" s="188"/>
      <c r="F15" s="188"/>
      <c r="G15" s="189"/>
      <c r="H15" s="190"/>
      <c r="I15" s="190"/>
      <c r="J15" s="190"/>
      <c r="K15" s="190"/>
      <c r="L15" s="203"/>
      <c r="M15" s="203"/>
      <c r="N15" s="213"/>
      <c r="O15" s="215"/>
      <c r="P15" s="206"/>
      <c r="Q15" s="178"/>
      <c r="R15" s="177"/>
      <c r="S15" s="178"/>
      <c r="T15" s="177"/>
      <c r="U15" s="179"/>
      <c r="V15" s="180" t="str">
        <f t="shared" si="2"/>
        <v/>
      </c>
      <c r="W15" s="181"/>
      <c r="X15" s="175" t="str">
        <f t="shared" si="0"/>
        <v/>
      </c>
      <c r="Y15" s="175"/>
      <c r="Z15" s="175" t="str">
        <f t="shared" si="3"/>
        <v/>
      </c>
      <c r="AA15" s="176"/>
      <c r="AD15" s="37" t="e">
        <f t="shared" si="10"/>
        <v>#VALUE!</v>
      </c>
      <c r="AE15" s="37" t="e">
        <f t="shared" si="11"/>
        <v>#VALUE!</v>
      </c>
      <c r="AG15" s="40" t="b">
        <v>0</v>
      </c>
      <c r="AH15" s="37" t="str">
        <f t="shared" si="6"/>
        <v>エラー</v>
      </c>
      <c r="AI15" s="37" t="str">
        <f t="shared" si="7"/>
        <v>エラー</v>
      </c>
      <c r="AK15" s="37" t="e">
        <f t="shared" si="12"/>
        <v>#DIV/0!</v>
      </c>
      <c r="AL15" s="37" t="e">
        <f t="shared" si="13"/>
        <v>#DIV/0!</v>
      </c>
      <c r="AN15" s="37">
        <f>IF(共通条件・結果!$AA$7="８地域",H15,IF(AO15="FALSE",H15,IF(L15="風除室",1/((1/H15)+0.1),0.5*H15+0.5*(1/((1/H15)+AO15)))))</f>
        <v>0</v>
      </c>
      <c r="AO15" s="39" t="str">
        <f t="shared" si="14"/>
        <v>FALSE</v>
      </c>
    </row>
    <row r="16" spans="2:41" s="37" customFormat="1" ht="21.9" customHeight="1" x14ac:dyDescent="0.2">
      <c r="B16" s="185"/>
      <c r="C16" s="186"/>
      <c r="D16" s="187"/>
      <c r="E16" s="188"/>
      <c r="F16" s="188"/>
      <c r="G16" s="189"/>
      <c r="H16" s="190"/>
      <c r="I16" s="190"/>
      <c r="J16" s="190"/>
      <c r="K16" s="190"/>
      <c r="L16" s="203"/>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 t="shared" si="8"/>
        <v>#DIV/0!</v>
      </c>
      <c r="AL16" s="37" t="e">
        <f t="shared" si="9"/>
        <v>#DIV/0!</v>
      </c>
      <c r="AN16" s="37">
        <f>IF(共通条件・結果!$AA$7="８地域",H16,IF(AO16="FALSE",H16,IF(L16="風除室",1/((1/H16)+0.1),0.5*H16+0.5*(1/((1/H16)+AO16)))))</f>
        <v>0</v>
      </c>
      <c r="AO16" s="39" t="str">
        <f t="shared" si="1"/>
        <v>FALSE</v>
      </c>
    </row>
    <row r="17" spans="2:41" s="37" customFormat="1" ht="21.9" customHeight="1" x14ac:dyDescent="0.2">
      <c r="B17" s="185"/>
      <c r="C17" s="186"/>
      <c r="D17" s="187"/>
      <c r="E17" s="188"/>
      <c r="F17" s="188"/>
      <c r="G17" s="189"/>
      <c r="H17" s="190"/>
      <c r="I17" s="190"/>
      <c r="J17" s="190"/>
      <c r="K17" s="190"/>
      <c r="L17" s="203"/>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 t="shared" si="8"/>
        <v>#DIV/0!</v>
      </c>
      <c r="AL17" s="37" t="e">
        <f t="shared" si="9"/>
        <v>#DIV/0!</v>
      </c>
      <c r="AN17" s="37">
        <f>IF(共通条件・結果!$AA$7="８地域",H17,IF(AO17="FALSE",H17,IF(L17="風除室",1/((1/H17)+0.1),0.5*H17+0.5*(1/((1/H17)+AO17)))))</f>
        <v>0</v>
      </c>
      <c r="AO17" s="39" t="str">
        <f t="shared" si="1"/>
        <v>FALSE</v>
      </c>
    </row>
    <row r="18" spans="2:41" s="37" customFormat="1" ht="21.9" customHeight="1" x14ac:dyDescent="0.2">
      <c r="B18" s="185"/>
      <c r="C18" s="186"/>
      <c r="D18" s="187"/>
      <c r="E18" s="188"/>
      <c r="F18" s="188"/>
      <c r="G18" s="189"/>
      <c r="H18" s="190"/>
      <c r="I18" s="190"/>
      <c r="J18" s="190"/>
      <c r="K18" s="190"/>
      <c r="L18" s="203"/>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 t="shared" si="8"/>
        <v>#DIV/0!</v>
      </c>
      <c r="AL18" s="37" t="e">
        <f t="shared" si="9"/>
        <v>#DIV/0!</v>
      </c>
      <c r="AN18" s="37">
        <f>IF(共通条件・結果!$AA$7="８地域",H18,IF(AO18="FALSE",H18,IF(L18="風除室",1/((1/H18)+0.1),0.5*H18+0.5*(1/((1/H18)+AO18)))))</f>
        <v>0</v>
      </c>
      <c r="AO18" s="39" t="str">
        <f t="shared" si="1"/>
        <v>FALSE</v>
      </c>
    </row>
    <row r="19" spans="2:41" s="37" customFormat="1" ht="21.9" customHeight="1" thickBot="1" x14ac:dyDescent="0.25">
      <c r="B19" s="200"/>
      <c r="C19" s="289"/>
      <c r="D19" s="290"/>
      <c r="E19" s="191"/>
      <c r="F19" s="191"/>
      <c r="G19" s="192"/>
      <c r="H19" s="279"/>
      <c r="I19" s="279"/>
      <c r="J19" s="279"/>
      <c r="K19" s="279"/>
      <c r="L19" s="268"/>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 t="shared" si="8"/>
        <v>#DIV/0!</v>
      </c>
      <c r="AL19" s="37" t="e">
        <f t="shared" si="9"/>
        <v>#DIV/0!</v>
      </c>
      <c r="AN19" s="37">
        <f>IF(共通条件・結果!$AA$7="８地域",H19,IF(AO19="FALSE",H19,IF(L19="風除室",1/((1/H19)+0.1),0.5*H19+0.5*(1/((1/H19)+AO19)))))</f>
        <v>0</v>
      </c>
      <c r="AO19" s="39" t="str">
        <f t="shared" si="1"/>
        <v>FALSE</v>
      </c>
    </row>
    <row r="20" spans="2:41" s="37" customFormat="1" ht="21.9" customHeight="1" thickBot="1" x14ac:dyDescent="0.25">
      <c r="B20" s="285" t="s">
        <v>77</v>
      </c>
      <c r="C20" s="286"/>
      <c r="D20" s="286"/>
      <c r="E20" s="286"/>
      <c r="F20" s="286"/>
      <c r="G20" s="286"/>
      <c r="H20" s="286"/>
      <c r="I20" s="286"/>
      <c r="J20" s="286"/>
      <c r="K20" s="286"/>
      <c r="L20" s="286"/>
      <c r="M20" s="286"/>
      <c r="N20" s="286"/>
      <c r="O20" s="286"/>
      <c r="P20" s="286"/>
      <c r="Q20" s="286"/>
      <c r="R20" s="286"/>
      <c r="S20" s="286"/>
      <c r="T20" s="286"/>
      <c r="U20" s="286"/>
      <c r="V20" s="287">
        <f>SUM(V8:W19)</f>
        <v>0.79266960630000027</v>
      </c>
      <c r="W20" s="287"/>
      <c r="X20" s="287">
        <f>SUM(X8:Y19)</f>
        <v>0.33525927630000002</v>
      </c>
      <c r="Y20" s="287"/>
      <c r="Z20" s="287">
        <f>SUM(Z8:AA19)</f>
        <v>10.2544</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37" t="s">
        <v>87</v>
      </c>
      <c r="AO24" s="37" t="s">
        <v>85</v>
      </c>
    </row>
    <row r="25" spans="2:41" s="37" customFormat="1" ht="21.9" customHeight="1" x14ac:dyDescent="0.2">
      <c r="C25" s="41"/>
      <c r="D25" s="41"/>
      <c r="E25" s="41"/>
      <c r="F25" s="41"/>
      <c r="G25" s="41"/>
      <c r="H25" s="41"/>
      <c r="I25" s="41"/>
      <c r="J25" s="183" t="s">
        <v>245</v>
      </c>
      <c r="K25" s="199"/>
      <c r="L25" s="199"/>
      <c r="M25" s="184"/>
      <c r="N25" s="264">
        <v>1</v>
      </c>
      <c r="O25" s="265"/>
      <c r="P25" s="265">
        <v>2</v>
      </c>
      <c r="Q25" s="266"/>
      <c r="R25" s="267">
        <v>1.75</v>
      </c>
      <c r="S25" s="267"/>
      <c r="T25" s="334"/>
      <c r="U25" s="334"/>
      <c r="V25" s="321">
        <f>IF(N25="","",N25*P25*R25*0.034*$V$4)</f>
        <v>4.0579000000000004E-2</v>
      </c>
      <c r="W25" s="321"/>
      <c r="X25" s="321">
        <f>IF(N25="","",IF(ISERROR(N25*P25*R25*0.034*$X$4),"-",N25*P25*R25*0.034*$X$4))</f>
        <v>3.1297000000000005E-2</v>
      </c>
      <c r="Y25" s="321"/>
      <c r="Z25" s="321">
        <f>IF(N25="","",N25*P25*AN25)</f>
        <v>3.5</v>
      </c>
      <c r="AA25" s="324"/>
      <c r="AN25" s="37">
        <f>IF(共通条件・結果!$AA$7="８地域",R25,IF(AO25="FALSE",R25,IF(T25="風除室",1/((1/R25)+0.1),0.5*R25+0.5*(1/((1/R25)+AO25)))))</f>
        <v>1.75</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4"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c r="U27" s="203"/>
      <c r="V27" s="332" t="str">
        <f>IF(N27="","",N27*P27*R27*0.034*$V$4)</f>
        <v/>
      </c>
      <c r="W27" s="332"/>
      <c r="X27" s="332" t="str">
        <f>IF(N27="","",IF(ISERROR(N27*P27*R27*0.034*$X$4),"-",N27*P27*R27*0.034*$X$4))</f>
        <v/>
      </c>
      <c r="Y27" s="332"/>
      <c r="Z27" s="332" t="str">
        <f>IF(N27="","",N27*P27*AN27)</f>
        <v/>
      </c>
      <c r="AA27" s="333"/>
      <c r="AN27" s="37">
        <f>IF(共通条件・結果!$AA$7="８地域",R27,IF(AO27="FALSE",R27,IF(T27="風除室",1/((1/R27)+0.1),0.5*R27+0.5*(1/((1/R27)+AO27)))))</f>
        <v>0</v>
      </c>
      <c r="AO27" s="39" t="str">
        <f>IF(T27="","FALSE",IF(T27="雨戸",0.1,IF(T27="ｼｬｯﾀｰ",0.1,IF(T27="障子",0.18,IF(T27="風除室",0.1)))))</f>
        <v>FALSE</v>
      </c>
    </row>
    <row r="28" spans="2:41" s="37" customFormat="1" ht="21.9" customHeight="1" thickBot="1" x14ac:dyDescent="0.25">
      <c r="C28" s="41"/>
      <c r="D28" s="41"/>
      <c r="E28" s="41"/>
      <c r="F28" s="41"/>
      <c r="G28" s="41"/>
      <c r="H28" s="41"/>
      <c r="I28" s="41"/>
      <c r="J28" s="285" t="s">
        <v>142</v>
      </c>
      <c r="K28" s="286"/>
      <c r="L28" s="286"/>
      <c r="M28" s="286"/>
      <c r="N28" s="286"/>
      <c r="O28" s="286"/>
      <c r="P28" s="286"/>
      <c r="Q28" s="286"/>
      <c r="R28" s="286"/>
      <c r="S28" s="286"/>
      <c r="T28" s="286"/>
      <c r="U28" s="312"/>
      <c r="V28" s="287">
        <f>SUM(V25:W27)</f>
        <v>4.0579000000000004E-2</v>
      </c>
      <c r="W28" s="287"/>
      <c r="X28" s="287">
        <f>SUM(X25:Y27)</f>
        <v>3.1297000000000005E-2</v>
      </c>
      <c r="Y28" s="287"/>
      <c r="Z28" s="287">
        <f>SUM(Z25:AA27)</f>
        <v>3.5</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t="s">
        <v>255</v>
      </c>
      <c r="K33" s="184"/>
      <c r="L33" s="316">
        <f>(8.1+2.7)*(2.4+0.438+2.4+0.043+0.105+0.02)</f>
        <v>58.384799999999998</v>
      </c>
      <c r="M33" s="317"/>
      <c r="N33" s="316">
        <f>6.409+2</f>
        <v>8.4089999999999989</v>
      </c>
      <c r="O33" s="317"/>
      <c r="P33" s="318">
        <f>IF(L33="","",L33-N33)</f>
        <v>49.9758</v>
      </c>
      <c r="Q33" s="319"/>
      <c r="R33" s="267">
        <v>0.20618729888324211</v>
      </c>
      <c r="S33" s="267"/>
      <c r="T33" s="320"/>
      <c r="U33" s="320"/>
      <c r="V33" s="321">
        <f>IF(P33="","",IF(AD33=TRUE,0,P33*R33*0.034*$V$4))</f>
        <v>0.11946892620246877</v>
      </c>
      <c r="W33" s="321"/>
      <c r="X33" s="322">
        <f>IF(P33="","",IF(ISERROR(P33*R33*0.034*$X$4),"-",IF(AD33=TRUE,0,P33*R33*0.034*$X$4)))</f>
        <v>9.2141723141493506E-2</v>
      </c>
      <c r="Y33" s="323"/>
      <c r="Z33" s="321">
        <f>IF(R33="","",IF(AD33=TRUE,0.7*R33*P33,R33*P33))</f>
        <v>10.30437521152913</v>
      </c>
      <c r="AA33" s="324"/>
      <c r="AD33" s="40" t="b">
        <v>0</v>
      </c>
      <c r="AE33" s="96">
        <f>IF(AD33=TRUE,0.7,1)</f>
        <v>1</v>
      </c>
      <c r="AF33" s="40" t="str">
        <f>IF(AD33=TRUE,0,"セル")</f>
        <v>セル</v>
      </c>
    </row>
    <row r="34" spans="2:32" s="37" customFormat="1" ht="21.9" customHeight="1" x14ac:dyDescent="0.2">
      <c r="C34" s="41"/>
      <c r="D34" s="41"/>
      <c r="E34" s="41"/>
      <c r="F34" s="41"/>
      <c r="G34" s="41"/>
      <c r="H34" s="41"/>
      <c r="I34" s="41"/>
      <c r="J34" s="185" t="s">
        <v>261</v>
      </c>
      <c r="K34" s="205"/>
      <c r="L34" s="207">
        <f>0.5*10.8</f>
        <v>5.4</v>
      </c>
      <c r="M34" s="210"/>
      <c r="N34" s="207">
        <v>0</v>
      </c>
      <c r="O34" s="210"/>
      <c r="P34" s="313">
        <f>IF(L34="","",L34-N34)</f>
        <v>5.4</v>
      </c>
      <c r="Q34" s="314"/>
      <c r="R34" s="207">
        <v>0.26183640835258143</v>
      </c>
      <c r="S34" s="210"/>
      <c r="T34" s="352"/>
      <c r="U34" s="353"/>
      <c r="V34" s="180">
        <f>IF(P34="","",IF(AD34=TRUE,0,P34*R34*0.034*$V$4))</f>
        <v>1.6392949119575079E-2</v>
      </c>
      <c r="W34" s="181"/>
      <c r="X34" s="180">
        <f>IF(P34="","",IF(ISERROR(P34*R34*0.034*$X$4),"-",IF(AD34=TRUE,0,P34*R34*0.034*$X$4)))</f>
        <v>1.2643242282839431E-2</v>
      </c>
      <c r="Y34" s="181"/>
      <c r="Z34" s="180">
        <f>IF(R34="","",IF(AD34=TRUE,0.7*R34*P34,R34*P34))</f>
        <v>1.4139166051039398</v>
      </c>
      <c r="AA34" s="182"/>
      <c r="AD34" s="40" t="b">
        <v>0</v>
      </c>
      <c r="AE34" s="96">
        <f>IF(AD34=TRUE,0.7,1)</f>
        <v>1</v>
      </c>
      <c r="AF34" s="40" t="str">
        <f>IF(AD34=TRUE,0,"セル")</f>
        <v>セル</v>
      </c>
    </row>
    <row r="35" spans="2:32" s="37" customFormat="1" ht="21.9" customHeight="1" x14ac:dyDescent="0.2">
      <c r="C35" s="41"/>
      <c r="D35" s="41"/>
      <c r="E35" s="41"/>
      <c r="F35" s="41"/>
      <c r="G35" s="41"/>
      <c r="H35" s="41"/>
      <c r="I35" s="41"/>
      <c r="J35" s="185"/>
      <c r="K35" s="205"/>
      <c r="L35" s="207"/>
      <c r="M35" s="210"/>
      <c r="N35" s="207"/>
      <c r="O35" s="210"/>
      <c r="P35" s="313" t="str">
        <f>IF(L35="","",L35-N35)</f>
        <v/>
      </c>
      <c r="Q35" s="314"/>
      <c r="R35" s="207"/>
      <c r="S35" s="210"/>
      <c r="T35" s="352"/>
      <c r="U35" s="353"/>
      <c r="V35" s="180" t="str">
        <f>IF(P35="","",IF(AD35=TRUE,0,P35*R35*0.034*$V$4))</f>
        <v/>
      </c>
      <c r="W35" s="181"/>
      <c r="X35" s="180" t="str">
        <f>IF(P35="","",IF(ISERROR(P35*R35*0.034*$X$4),"-",IF(AD35=TRUE,0,P35*R35*0.034*$X$4)))</f>
        <v/>
      </c>
      <c r="Y35" s="181"/>
      <c r="Z35" s="350" t="str">
        <f>IF(R35="","",IF(AD35=TRUE,0.7*R35*P35,R35*P35))</f>
        <v/>
      </c>
      <c r="AA35" s="351"/>
      <c r="AD35" s="40" t="b">
        <v>0</v>
      </c>
      <c r="AE35" s="96">
        <f>IF(AD35=TRUE,0.7,1)</f>
        <v>1</v>
      </c>
      <c r="AF35" s="40" t="str">
        <f>IF(AD35=TRUE,0,"セル")</f>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96">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96">
        <f>IF(AD37=TRUE,0.7,1)</f>
        <v>1</v>
      </c>
      <c r="AF37" s="40" t="str">
        <f>IF(AD37=TRUE,0,"セル")</f>
        <v>セル</v>
      </c>
    </row>
    <row r="38" spans="2:32" s="37" customFormat="1" ht="21.9" customHeight="1" thickBot="1" x14ac:dyDescent="0.25">
      <c r="J38" s="285" t="s">
        <v>78</v>
      </c>
      <c r="K38" s="286"/>
      <c r="L38" s="286"/>
      <c r="M38" s="286"/>
      <c r="N38" s="286"/>
      <c r="O38" s="286"/>
      <c r="P38" s="286"/>
      <c r="Q38" s="286"/>
      <c r="R38" s="286"/>
      <c r="S38" s="286"/>
      <c r="T38" s="286"/>
      <c r="U38" s="312"/>
      <c r="V38" s="287">
        <f>SUM(V33:W37)</f>
        <v>0.13586187532204386</v>
      </c>
      <c r="W38" s="287"/>
      <c r="X38" s="287">
        <f>SUM(X33:Y37)</f>
        <v>0.10478496542433294</v>
      </c>
      <c r="Y38" s="287"/>
      <c r="Z38" s="287">
        <f>SUM(Z33:AA37)</f>
        <v>11.718291816633069</v>
      </c>
      <c r="AA38" s="288"/>
    </row>
    <row r="39" spans="2:32" s="37" customFormat="1" ht="9.9" customHeight="1" x14ac:dyDescent="0.2"/>
    <row r="40" spans="2:32" s="37" customFormat="1" ht="21.9" customHeight="1" thickBot="1" x14ac:dyDescent="0.25">
      <c r="B40" s="38" t="s">
        <v>116</v>
      </c>
    </row>
    <row r="41" spans="2:32" s="37" customFormat="1" ht="21.9" customHeight="1" x14ac:dyDescent="0.2">
      <c r="B41" s="291" t="s">
        <v>79</v>
      </c>
      <c r="C41" s="292"/>
      <c r="D41" s="305" t="s">
        <v>56</v>
      </c>
      <c r="E41" s="306"/>
      <c r="F41" s="306"/>
      <c r="G41" s="306"/>
      <c r="H41" s="306"/>
      <c r="I41" s="306"/>
      <c r="J41" s="307"/>
      <c r="K41" s="42"/>
      <c r="L41" s="301">
        <f>Q41+U41+Y41</f>
        <v>63.784799999999997</v>
      </c>
      <c r="M41" s="301"/>
      <c r="N41" s="301"/>
      <c r="O41" s="42" t="s">
        <v>24</v>
      </c>
      <c r="P41" s="43" t="s">
        <v>23</v>
      </c>
      <c r="Q41" s="302">
        <f>D8*F8+D9*F9+D10*F10+D11*F11+D12*F12+D13*F13+D14*F14+D15*F15+D16*F16+D17*F17+D18*F18+D19*F19</f>
        <v>6.4090000000000007</v>
      </c>
      <c r="R41" s="302"/>
      <c r="S41" s="44" t="s">
        <v>25</v>
      </c>
      <c r="T41" s="44" t="s">
        <v>22</v>
      </c>
      <c r="U41" s="303">
        <f>N25*P25+N26*P26+N27*P27</f>
        <v>2</v>
      </c>
      <c r="V41" s="303"/>
      <c r="W41" s="44" t="s">
        <v>25</v>
      </c>
      <c r="X41" s="44" t="s">
        <v>1</v>
      </c>
      <c r="Y41" s="304">
        <f>SUM(P33:Q37)</f>
        <v>55.375799999999998</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0.96911048162204416</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0.471341241724333</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25.47269181663307</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tMonNcyT+qO/cB2pNcL43uJmyk/wJDSnEfyDJbd4DQsdtflsbiaOBtsicpo/Pr5lI0miXHmZs2FZsaoJHB0VYg==" saltValue="s/H5fV6TBMh5AhJFKkilyA==" spinCount="100000" sheet="1" objects="1" scenarios="1" selectLockedCells="1"/>
  <mergeCells count="293">
    <mergeCell ref="J37:K37"/>
    <mergeCell ref="Z35:AA35"/>
    <mergeCell ref="T35:U35"/>
    <mergeCell ref="L35:M35"/>
    <mergeCell ref="J35:K35"/>
    <mergeCell ref="N35:O35"/>
    <mergeCell ref="R35:S35"/>
    <mergeCell ref="J34:K34"/>
    <mergeCell ref="L34:M34"/>
    <mergeCell ref="N34:O34"/>
    <mergeCell ref="R34:S34"/>
    <mergeCell ref="T34:U34"/>
    <mergeCell ref="P34:Q34"/>
    <mergeCell ref="J36:K36"/>
    <mergeCell ref="N26:O26"/>
    <mergeCell ref="Z34:AA34"/>
    <mergeCell ref="L37:M37"/>
    <mergeCell ref="R31:S32"/>
    <mergeCell ref="T31:U32"/>
    <mergeCell ref="N27:O27"/>
    <mergeCell ref="L31:M32"/>
    <mergeCell ref="N31:O32"/>
    <mergeCell ref="T37:U37"/>
    <mergeCell ref="V37:W37"/>
    <mergeCell ref="X37:Y37"/>
    <mergeCell ref="N36:O36"/>
    <mergeCell ref="N37:O37"/>
    <mergeCell ref="P37:Q37"/>
    <mergeCell ref="R37:S37"/>
    <mergeCell ref="V27:W27"/>
    <mergeCell ref="X27:Y27"/>
    <mergeCell ref="V34:W34"/>
    <mergeCell ref="X34:Y34"/>
    <mergeCell ref="R36:S36"/>
    <mergeCell ref="V35:W35"/>
    <mergeCell ref="X35:Y35"/>
    <mergeCell ref="R23:S24"/>
    <mergeCell ref="T23:U24"/>
    <mergeCell ref="P35:Q35"/>
    <mergeCell ref="Z27:AA27"/>
    <mergeCell ref="V28:W28"/>
    <mergeCell ref="X28:Y28"/>
    <mergeCell ref="Z28:AA28"/>
    <mergeCell ref="P25:Q25"/>
    <mergeCell ref="R25:S25"/>
    <mergeCell ref="T25:U25"/>
    <mergeCell ref="V25:W25"/>
    <mergeCell ref="X25:Y25"/>
    <mergeCell ref="Z25:AA25"/>
    <mergeCell ref="P26:Q26"/>
    <mergeCell ref="R26:S26"/>
    <mergeCell ref="T26:U26"/>
    <mergeCell ref="V26:W26"/>
    <mergeCell ref="X26:Y26"/>
    <mergeCell ref="Z26:AA26"/>
    <mergeCell ref="J28:U28"/>
    <mergeCell ref="X31:Y32"/>
    <mergeCell ref="P27:Q27"/>
    <mergeCell ref="R27:S27"/>
    <mergeCell ref="T27:U27"/>
    <mergeCell ref="AN6:AO6"/>
    <mergeCell ref="D42:J42"/>
    <mergeCell ref="W42:Y42"/>
    <mergeCell ref="X36:Y36"/>
    <mergeCell ref="Z36:AA36"/>
    <mergeCell ref="Z37:AA37"/>
    <mergeCell ref="V38:W38"/>
    <mergeCell ref="P36:Q36"/>
    <mergeCell ref="V31:W32"/>
    <mergeCell ref="T36:U36"/>
    <mergeCell ref="V36:W36"/>
    <mergeCell ref="L36:M36"/>
    <mergeCell ref="Z31:AA32"/>
    <mergeCell ref="L33:M33"/>
    <mergeCell ref="N33:O33"/>
    <mergeCell ref="P33:Q33"/>
    <mergeCell ref="R33:S33"/>
    <mergeCell ref="T33:U33"/>
    <mergeCell ref="V33:W33"/>
    <mergeCell ref="X33:Y33"/>
    <mergeCell ref="Z33:AA33"/>
    <mergeCell ref="P31:Q32"/>
    <mergeCell ref="AN21:AO21"/>
    <mergeCell ref="AN23:AO23"/>
    <mergeCell ref="B41:C44"/>
    <mergeCell ref="X38:Y38"/>
    <mergeCell ref="Z38:AA38"/>
    <mergeCell ref="D43:J43"/>
    <mergeCell ref="W43:Y43"/>
    <mergeCell ref="L41:N41"/>
    <mergeCell ref="Q41:R41"/>
    <mergeCell ref="U41:V41"/>
    <mergeCell ref="Y41:Z41"/>
    <mergeCell ref="D41:J41"/>
    <mergeCell ref="D44:J44"/>
    <mergeCell ref="W44:Y44"/>
    <mergeCell ref="J38:U38"/>
    <mergeCell ref="V23:W24"/>
    <mergeCell ref="X23:Y24"/>
    <mergeCell ref="Z23:AA24"/>
    <mergeCell ref="N24:O24"/>
    <mergeCell ref="P24:Q24"/>
    <mergeCell ref="N25:O25"/>
    <mergeCell ref="N23:Q23"/>
    <mergeCell ref="X17:Y17"/>
    <mergeCell ref="T18:U18"/>
    <mergeCell ref="V18:W18"/>
    <mergeCell ref="X18:Y18"/>
    <mergeCell ref="N18:O18"/>
    <mergeCell ref="P18:Q18"/>
    <mergeCell ref="R18:S18"/>
    <mergeCell ref="P17:Q17"/>
    <mergeCell ref="R17:S17"/>
    <mergeCell ref="X19:Y19"/>
    <mergeCell ref="Z19:AA19"/>
    <mergeCell ref="B20:U20"/>
    <mergeCell ref="V20:W20"/>
    <mergeCell ref="X20:Y20"/>
    <mergeCell ref="Z20:AA20"/>
    <mergeCell ref="B19:C19"/>
    <mergeCell ref="D19:E19"/>
    <mergeCell ref="N19:O19"/>
    <mergeCell ref="P19:Q19"/>
    <mergeCell ref="R19:S19"/>
    <mergeCell ref="T19:U19"/>
    <mergeCell ref="V19:W19"/>
    <mergeCell ref="H19:I19"/>
    <mergeCell ref="J19:K19"/>
    <mergeCell ref="L19:M19"/>
    <mergeCell ref="Z18:AA18"/>
    <mergeCell ref="Z17:AA17"/>
    <mergeCell ref="B18:C18"/>
    <mergeCell ref="D18:E18"/>
    <mergeCell ref="F18:G18"/>
    <mergeCell ref="Z16:AA16"/>
    <mergeCell ref="L17:M17"/>
    <mergeCell ref="N17:O17"/>
    <mergeCell ref="H18:I18"/>
    <mergeCell ref="J18:K18"/>
    <mergeCell ref="L18:M18"/>
    <mergeCell ref="T17:U17"/>
    <mergeCell ref="V17:W17"/>
    <mergeCell ref="T16:U16"/>
    <mergeCell ref="V16:W16"/>
    <mergeCell ref="X16:Y16"/>
    <mergeCell ref="L16:M16"/>
    <mergeCell ref="Z15:AA15"/>
    <mergeCell ref="Z10:AA10"/>
    <mergeCell ref="B11:C11"/>
    <mergeCell ref="D11:E11"/>
    <mergeCell ref="F11:G11"/>
    <mergeCell ref="H11:I11"/>
    <mergeCell ref="J11:K11"/>
    <mergeCell ref="L11:M11"/>
    <mergeCell ref="P11:Q11"/>
    <mergeCell ref="R11:S11"/>
    <mergeCell ref="N10:O10"/>
    <mergeCell ref="B10:C10"/>
    <mergeCell ref="D10:E10"/>
    <mergeCell ref="F10:G10"/>
    <mergeCell ref="H10:I10"/>
    <mergeCell ref="J10:K10"/>
    <mergeCell ref="L10:M10"/>
    <mergeCell ref="P12:Q12"/>
    <mergeCell ref="X15:Y15"/>
    <mergeCell ref="X14:Y14"/>
    <mergeCell ref="R10:S10"/>
    <mergeCell ref="T10:U10"/>
    <mergeCell ref="V10:W10"/>
    <mergeCell ref="N11:O11"/>
    <mergeCell ref="Z9:AA9"/>
    <mergeCell ref="Z8:AA8"/>
    <mergeCell ref="B8:C8"/>
    <mergeCell ref="D8:E8"/>
    <mergeCell ref="F8:G8"/>
    <mergeCell ref="H8:I8"/>
    <mergeCell ref="J8:K8"/>
    <mergeCell ref="L8:M8"/>
    <mergeCell ref="B9:C9"/>
    <mergeCell ref="D9:E9"/>
    <mergeCell ref="N9:O9"/>
    <mergeCell ref="P9:Q9"/>
    <mergeCell ref="R9:S9"/>
    <mergeCell ref="F9:G9"/>
    <mergeCell ref="H9:I9"/>
    <mergeCell ref="J9:K9"/>
    <mergeCell ref="L9:M9"/>
    <mergeCell ref="T9:U9"/>
    <mergeCell ref="V9:W9"/>
    <mergeCell ref="X9:Y9"/>
    <mergeCell ref="AD6:AE6"/>
    <mergeCell ref="AH6:AI6"/>
    <mergeCell ref="N8:O8"/>
    <mergeCell ref="AK6:AL6"/>
    <mergeCell ref="P7:Q7"/>
    <mergeCell ref="R7:S7"/>
    <mergeCell ref="T7:U7"/>
    <mergeCell ref="V5:W7"/>
    <mergeCell ref="V8:W8"/>
    <mergeCell ref="X8:Y8"/>
    <mergeCell ref="P8:Q8"/>
    <mergeCell ref="R8:S8"/>
    <mergeCell ref="T8:U8"/>
    <mergeCell ref="B2:AA2"/>
    <mergeCell ref="R4:U4"/>
    <mergeCell ref="V4:W4"/>
    <mergeCell ref="X4:Y4"/>
    <mergeCell ref="B5:C7"/>
    <mergeCell ref="D5:G5"/>
    <mergeCell ref="H5:I7"/>
    <mergeCell ref="D6:E7"/>
    <mergeCell ref="F6:G7"/>
    <mergeCell ref="N6:O7"/>
    <mergeCell ref="X5:Y7"/>
    <mergeCell ref="Z5:AA7"/>
    <mergeCell ref="P6:U6"/>
    <mergeCell ref="J5:K7"/>
    <mergeCell ref="L5:M7"/>
    <mergeCell ref="N5:U5"/>
    <mergeCell ref="X10:Y10"/>
    <mergeCell ref="P15:Q15"/>
    <mergeCell ref="R15:S15"/>
    <mergeCell ref="R16:S16"/>
    <mergeCell ref="N16:O16"/>
    <mergeCell ref="P16:Q16"/>
    <mergeCell ref="N14:O14"/>
    <mergeCell ref="P14:Q14"/>
    <mergeCell ref="R14:S14"/>
    <mergeCell ref="T15:U15"/>
    <mergeCell ref="V15:W15"/>
    <mergeCell ref="T14:U14"/>
    <mergeCell ref="N15:O15"/>
    <mergeCell ref="V14:W14"/>
    <mergeCell ref="B14:C14"/>
    <mergeCell ref="D14:E14"/>
    <mergeCell ref="F14:G14"/>
    <mergeCell ref="H14:I14"/>
    <mergeCell ref="J14:K14"/>
    <mergeCell ref="L14:M14"/>
    <mergeCell ref="P10:Q10"/>
    <mergeCell ref="T11:U11"/>
    <mergeCell ref="V11:W11"/>
    <mergeCell ref="B12:C12"/>
    <mergeCell ref="B13:C13"/>
    <mergeCell ref="D12:E12"/>
    <mergeCell ref="F12:G12"/>
    <mergeCell ref="H12:I12"/>
    <mergeCell ref="J12:K12"/>
    <mergeCell ref="L12:M12"/>
    <mergeCell ref="D13:E13"/>
    <mergeCell ref="F13:G13"/>
    <mergeCell ref="H13:I13"/>
    <mergeCell ref="J13:K13"/>
    <mergeCell ref="L13:M13"/>
    <mergeCell ref="P13:Q13"/>
    <mergeCell ref="N12:O12"/>
    <mergeCell ref="N13:O13"/>
    <mergeCell ref="J33:K33"/>
    <mergeCell ref="B15:C15"/>
    <mergeCell ref="D15:E15"/>
    <mergeCell ref="F15:G15"/>
    <mergeCell ref="H15:I15"/>
    <mergeCell ref="B16:C16"/>
    <mergeCell ref="D16:E16"/>
    <mergeCell ref="F16:G16"/>
    <mergeCell ref="H16:I16"/>
    <mergeCell ref="J16:K16"/>
    <mergeCell ref="F19:G19"/>
    <mergeCell ref="J31:K32"/>
    <mergeCell ref="J23:M24"/>
    <mergeCell ref="J25:M25"/>
    <mergeCell ref="J27:M27"/>
    <mergeCell ref="J15:K15"/>
    <mergeCell ref="L15:M15"/>
    <mergeCell ref="B17:C17"/>
    <mergeCell ref="D17:E17"/>
    <mergeCell ref="F17:G17"/>
    <mergeCell ref="H17:I17"/>
    <mergeCell ref="J17:K17"/>
    <mergeCell ref="J26:M26"/>
    <mergeCell ref="Z14:AA14"/>
    <mergeCell ref="R12:S12"/>
    <mergeCell ref="T12:U12"/>
    <mergeCell ref="T13:U13"/>
    <mergeCell ref="V13:W13"/>
    <mergeCell ref="X13:Y13"/>
    <mergeCell ref="Z13:AA13"/>
    <mergeCell ref="Z12:AA12"/>
    <mergeCell ref="Z11:AA11"/>
    <mergeCell ref="X11:Y11"/>
    <mergeCell ref="V12:W12"/>
    <mergeCell ref="X12:Y12"/>
    <mergeCell ref="R13:S13"/>
  </mergeCells>
  <phoneticPr fontId="2"/>
  <conditionalFormatting sqref="V20:W20">
    <cfRule type="expression" dxfId="255" priority="66" stopIfTrue="1">
      <formula>$V$20=0</formula>
    </cfRule>
  </conditionalFormatting>
  <conditionalFormatting sqref="X20:Y20">
    <cfRule type="expression" dxfId="254" priority="65" stopIfTrue="1">
      <formula>$X$20=0</formula>
    </cfRule>
  </conditionalFormatting>
  <conditionalFormatting sqref="Z20:AA20">
    <cfRule type="expression" dxfId="253" priority="64" stopIfTrue="1">
      <formula>$Z$20=0</formula>
    </cfRule>
  </conditionalFormatting>
  <conditionalFormatting sqref="V28:W28">
    <cfRule type="expression" dxfId="252" priority="63" stopIfTrue="1">
      <formula>$V$28:$W$28=0</formula>
    </cfRule>
  </conditionalFormatting>
  <conditionalFormatting sqref="V38:W38">
    <cfRule type="expression" dxfId="251" priority="62" stopIfTrue="1">
      <formula>$V$38:$W$38=0</formula>
    </cfRule>
  </conditionalFormatting>
  <conditionalFormatting sqref="Y41:Z41">
    <cfRule type="expression" dxfId="250" priority="61" stopIfTrue="1">
      <formula>$Y$41=0</formula>
    </cfRule>
  </conditionalFormatting>
  <conditionalFormatting sqref="Q41:R41">
    <cfRule type="expression" dxfId="249" priority="60" stopIfTrue="1">
      <formula>$Q$41=0</formula>
    </cfRule>
  </conditionalFormatting>
  <conditionalFormatting sqref="U41:V41">
    <cfRule type="expression" dxfId="248" priority="59" stopIfTrue="1">
      <formula>$U$41=0</formula>
    </cfRule>
  </conditionalFormatting>
  <conditionalFormatting sqref="L41:N41">
    <cfRule type="expression" dxfId="247" priority="58" stopIfTrue="1">
      <formula>$L$41=0</formula>
    </cfRule>
  </conditionalFormatting>
  <conditionalFormatting sqref="X8:Y8">
    <cfRule type="expression" dxfId="246" priority="56" stopIfTrue="1">
      <formula>#VALUE!</formula>
    </cfRule>
    <cfRule type="expression" dxfId="245" priority="57" stopIfTrue="1">
      <formula>#VALUE!</formula>
    </cfRule>
  </conditionalFormatting>
  <conditionalFormatting sqref="X19:Y19">
    <cfRule type="expression" dxfId="244" priority="55" stopIfTrue="1">
      <formula>#VALUE!</formula>
    </cfRule>
  </conditionalFormatting>
  <conditionalFormatting sqref="X28:Y28">
    <cfRule type="expression" dxfId="243" priority="28" stopIfTrue="1">
      <formula>$X$28:$Y$28=0</formula>
    </cfRule>
  </conditionalFormatting>
  <conditionalFormatting sqref="Z28:AA28">
    <cfRule type="expression" dxfId="242" priority="27" stopIfTrue="1">
      <formula>$Z$28:$AA$28=0</formula>
    </cfRule>
  </conditionalFormatting>
  <conditionalFormatting sqref="X38:Y38">
    <cfRule type="expression" dxfId="241" priority="26" stopIfTrue="1">
      <formula>$X$38:$Y$38=0</formula>
    </cfRule>
  </conditionalFormatting>
  <conditionalFormatting sqref="Z38:AA38">
    <cfRule type="expression" dxfId="240" priority="25" stopIfTrue="1">
      <formula>$Z$38:$AA$38=0</formula>
    </cfRule>
  </conditionalFormatting>
  <conditionalFormatting sqref="P8:U8">
    <cfRule type="expression" dxfId="239" priority="12" stopIfTrue="1">
      <formula>$AG$8=TRUE</formula>
    </cfRule>
  </conditionalFormatting>
  <conditionalFormatting sqref="P15:U15">
    <cfRule type="expression" dxfId="238" priority="11" stopIfTrue="1">
      <formula>$AG$15=TRUE</formula>
    </cfRule>
  </conditionalFormatting>
  <conditionalFormatting sqref="P16:U16">
    <cfRule type="expression" dxfId="237" priority="10" stopIfTrue="1">
      <formula>$AG$16=TRUE</formula>
    </cfRule>
  </conditionalFormatting>
  <conditionalFormatting sqref="P17:U17">
    <cfRule type="expression" dxfId="236" priority="9" stopIfTrue="1">
      <formula>$AG$17=TRUE</formula>
    </cfRule>
  </conditionalFormatting>
  <conditionalFormatting sqref="P18:U18">
    <cfRule type="expression" dxfId="235" priority="8" stopIfTrue="1">
      <formula>$AG$18=TRUE</formula>
    </cfRule>
  </conditionalFormatting>
  <conditionalFormatting sqref="P19:U19">
    <cfRule type="expression" dxfId="234" priority="7" stopIfTrue="1">
      <formula>$AG$19=TRUE</formula>
    </cfRule>
  </conditionalFormatting>
  <conditionalFormatting sqref="P10:U10">
    <cfRule type="expression" dxfId="233" priority="6" stopIfTrue="1">
      <formula>$AG$10=TRUE</formula>
    </cfRule>
  </conditionalFormatting>
  <conditionalFormatting sqref="P11:U11">
    <cfRule type="expression" dxfId="232" priority="5" stopIfTrue="1">
      <formula>$AG$11=TRUE</formula>
    </cfRule>
  </conditionalFormatting>
  <conditionalFormatting sqref="P14:U14">
    <cfRule type="expression" dxfId="231" priority="4" stopIfTrue="1">
      <formula>$AG$14=TRUE</formula>
    </cfRule>
  </conditionalFormatting>
  <conditionalFormatting sqref="P9:U9">
    <cfRule type="expression" dxfId="230" priority="3" stopIfTrue="1">
      <formula>$AG$9=TRUE</formula>
    </cfRule>
  </conditionalFormatting>
  <conditionalFormatting sqref="P12:U12">
    <cfRule type="expression" dxfId="229" priority="2">
      <formula>$AG$12=TRUE</formula>
    </cfRule>
  </conditionalFormatting>
  <conditionalFormatting sqref="P13:U13">
    <cfRule type="expression" dxfId="228" priority="1">
      <formula>$AG$13=TRUE</formula>
    </cfRule>
  </conditionalFormatting>
  <dataValidations count="1">
    <dataValidation type="list" allowBlank="1" showInputMessage="1" showErrorMessage="1" sqref="U25 U27 T25:T27 M14:M19 L8:L19 M8:M11">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85018" r:id="rId11" name="Check Box 26">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85019" r:id="rId12" name="Check Box 27">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85020" r:id="rId13" name="Check Box 28">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85039" r:id="rId14" name="Check Box 47">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85040" r:id="rId15" name="Check Box 48">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85041" r:id="rId16" name="Check Box 49">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85054" r:id="rId17" name="Check Box 62">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85058" r:id="rId18" name="Check Box 66">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85059" r:id="rId19" name="Check Box 67">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85060" r:id="rId20" name="Check Box 68">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mc:AlternateContent xmlns:mc="http://schemas.openxmlformats.org/markup-compatibility/2006">
          <mc:Choice Requires="x14">
            <control shapeId="85061" r:id="rId21" name="Check Box 69">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85062" r:id="rId22" name="Check Box 70">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85063" r:id="rId23" name="Check Box 71">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85064" r:id="rId24" name="Check Box 72">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85065" r:id="rId25" name="Check Box 73">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85066" r:id="rId26" name="Check Box 74">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85067" r:id="rId27" name="Check Box 75">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85068" r:id="rId28" name="Check Box 76">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85069" r:id="rId29" name="Check Box 77">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85070" r:id="rId30" name="Check Box 78">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85071" r:id="rId31" name="Check Box 79">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85072" r:id="rId32" name="Check Box 80">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AO106"/>
  <sheetViews>
    <sheetView showGridLines="0" view="pageBreakPreview" topLeftCell="A25" zoomScaleNormal="100" zoomScaleSheetLayoutView="100" workbookViewId="0">
      <selection activeCell="B8" sqref="B8:C8"/>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109</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222">
        <f>IF(共通条件・結果!AA7="８地域","0.414",IF(共通条件・結果!AA7="７地域",0.415,IF(共通条件・結果!AA7="６地域",0.431,IF(共通条件・結果!AA7="５地域",0.437,IF(共通条件・結果!AA7="４地域",0.426,IF(共通条件・結果!AA7="３地域",0.39,IF(共通条件・結果!AA7="２地域",0.412,IF(共通条件・結果!AA7="１地域",0.43))))))))</f>
        <v>0.41199999999999998</v>
      </c>
      <c r="W4" s="223"/>
      <c r="X4" s="222">
        <f>IF(共通条件・結果!AA7="８地域","-",IF(共通条件・結果!AA7="７地域",0.281,IF(共通条件・結果!AA7="６地域",0.325,IF(共通条件・結果!AA7="５地域",0.31,IF(共通条件・結果!AA7="４地域",0.33,IF(共通条件・結果!AA7="３地域",0.348,IF(共通条件・結果!AA7="２地域",0.341,IF(共通条件・結果!AA7="１地域",0.333))))))))</f>
        <v>0.34100000000000003</v>
      </c>
      <c r="Y4" s="223"/>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37" t="s">
        <v>87</v>
      </c>
      <c r="AO7" s="37" t="s">
        <v>85</v>
      </c>
    </row>
    <row r="8" spans="2:41" s="37" customFormat="1" ht="21.9" customHeight="1" x14ac:dyDescent="0.2">
      <c r="B8" s="183"/>
      <c r="C8" s="263"/>
      <c r="D8" s="264"/>
      <c r="E8" s="265"/>
      <c r="F8" s="265"/>
      <c r="G8" s="266"/>
      <c r="H8" s="267"/>
      <c r="I8" s="267"/>
      <c r="J8" s="267"/>
      <c r="K8" s="267"/>
      <c r="L8" s="268"/>
      <c r="M8" s="268"/>
      <c r="N8" s="251"/>
      <c r="O8" s="252"/>
      <c r="P8" s="257"/>
      <c r="Q8" s="258"/>
      <c r="R8" s="259"/>
      <c r="S8" s="260"/>
      <c r="T8" s="261"/>
      <c r="U8" s="257"/>
      <c r="V8" s="256" t="str">
        <f>IF(D8="","",AD8)</f>
        <v/>
      </c>
      <c r="W8" s="256"/>
      <c r="X8" s="256" t="str">
        <f t="shared" ref="X8:X19" si="0">IF(D8="","",IF(ISERROR(AE8),"-",AE8))</f>
        <v/>
      </c>
      <c r="Y8" s="256"/>
      <c r="Z8" s="256" t="str">
        <f>IF(D8="","",D8*F8*AN8)</f>
        <v/>
      </c>
      <c r="AA8" s="262"/>
      <c r="AD8" s="37" t="e">
        <f>D8*F8*J8*$V$4*AH8</f>
        <v>#VALUE!</v>
      </c>
      <c r="AE8" s="37" t="e">
        <f>D8*F8*J8*$X$4*AI8</f>
        <v>#VALUE!</v>
      </c>
      <c r="AG8" s="40" t="b">
        <v>0</v>
      </c>
      <c r="AH8" s="37" t="str">
        <f>IF(AG8=TRUE,"0.93",IF(ISERROR(AK8),"エラー",IF(AK8&gt;0.93,"0.93",AK8)))</f>
        <v>エラー</v>
      </c>
      <c r="AI8" s="37" t="str">
        <f>IF(AG8=TRUE,"0.51",IF(ISERROR(AL8),"エラー",IF(AL8&gt;0.72,"0.72",AL8)))</f>
        <v>エラー</v>
      </c>
      <c r="AK8" s="37" t="e">
        <f>0.01*(16+24*(2*R8+T8)/P8)</f>
        <v>#DIV/0!</v>
      </c>
      <c r="AL8" s="37" t="e">
        <f>0.01*(10+15*(2*R8+T8)/P8)</f>
        <v>#DIV/0!</v>
      </c>
      <c r="AN8" s="37">
        <f>IF(共通条件・結果!$AA$7="８地域",H8,IF(AO8="FALSE",H8,IF(L8="風除室",1/((1/H8)+0.1),0.5*H8+0.5*(1/((1/H8)+AO8)))))</f>
        <v>0</v>
      </c>
      <c r="AO8" s="39" t="str">
        <f t="shared" ref="AO8:AO19" si="1">IF(L8="","FALSE",IF(L8="雨戸",0.1,IF(L8="ｼｬｯﾀｰ",0.1,IF(L8="障子",0.18,IF(L8="風除室",0.1)))))</f>
        <v>FALSE</v>
      </c>
    </row>
    <row r="9" spans="2:41" s="37" customFormat="1" ht="21.9" customHeight="1" x14ac:dyDescent="0.2">
      <c r="B9" s="185"/>
      <c r="C9" s="186"/>
      <c r="D9" s="187"/>
      <c r="E9" s="188"/>
      <c r="F9" s="188"/>
      <c r="G9" s="189"/>
      <c r="H9" s="190"/>
      <c r="I9" s="190"/>
      <c r="J9" s="190"/>
      <c r="K9" s="190"/>
      <c r="L9" s="203" t="s">
        <v>65</v>
      </c>
      <c r="M9" s="203"/>
      <c r="N9" s="213"/>
      <c r="O9" s="215"/>
      <c r="P9" s="269"/>
      <c r="Q9" s="206"/>
      <c r="R9" s="270"/>
      <c r="S9" s="271"/>
      <c r="T9" s="179"/>
      <c r="U9" s="269"/>
      <c r="V9" s="175" t="str">
        <f t="shared" ref="V9:V19" si="2">IF(D9="","",AD9)</f>
        <v/>
      </c>
      <c r="W9" s="175"/>
      <c r="X9" s="175" t="str">
        <f t="shared" si="0"/>
        <v/>
      </c>
      <c r="Y9" s="175"/>
      <c r="Z9" s="175" t="str">
        <f t="shared" ref="Z9:Z19" si="3">IF(D9="","",D9*F9*AN9)</f>
        <v/>
      </c>
      <c r="AA9" s="176"/>
      <c r="AD9" s="37" t="e">
        <f t="shared" ref="AD9:AD19" si="4">D9*F9*J9*$V$4*AH9</f>
        <v>#VALUE!</v>
      </c>
      <c r="AE9" s="37" t="e">
        <f t="shared" ref="AE9:AE19" si="5">D9*F9*J9*$X$4*AI9</f>
        <v>#VALUE!</v>
      </c>
      <c r="AG9" s="40" t="b">
        <v>0</v>
      </c>
      <c r="AH9" s="37" t="str">
        <f t="shared" ref="AH9:AH19" si="6">IF(AG9=TRUE,"0.93",IF(ISERROR(AK9),"エラー",IF(AK9&gt;0.93,"0.93",AK9)))</f>
        <v>エラー</v>
      </c>
      <c r="AI9" s="37" t="str">
        <f t="shared" ref="AI9:AI19" si="7">IF(AG9=TRUE,"0.51",IF(ISERROR(AL9),"エラー",IF(AL9&gt;0.72,"0.72",AL9)))</f>
        <v>エラー</v>
      </c>
      <c r="AK9" s="37" t="e">
        <f t="shared" ref="AK9:AK19" si="8">0.01*(16+24*(2*R9+T9)/P9)</f>
        <v>#DIV/0!</v>
      </c>
      <c r="AL9" s="37" t="e">
        <f t="shared" ref="AL9:AL19" si="9">0.01*(10+15*(2*R9+T9)/P9)</f>
        <v>#DIV/0!</v>
      </c>
      <c r="AN9" s="37" t="e">
        <f>IF(共通条件・結果!$AA$7="８地域",H9,IF(AO9="FALSE",H9,IF(L9="風除室",1/((1/H9)+0.1),0.5*H9+0.5*(1/((1/H9)+AO9)))))</f>
        <v>#DIV/0!</v>
      </c>
      <c r="AO9" s="39" t="b">
        <f t="shared" si="1"/>
        <v>0</v>
      </c>
    </row>
    <row r="10" spans="2:41" s="37" customFormat="1" ht="21.9" customHeight="1" x14ac:dyDescent="0.2">
      <c r="B10" s="185"/>
      <c r="C10" s="186"/>
      <c r="D10" s="187"/>
      <c r="E10" s="188"/>
      <c r="F10" s="188"/>
      <c r="G10" s="189"/>
      <c r="H10" s="190"/>
      <c r="I10" s="190"/>
      <c r="J10" s="190"/>
      <c r="K10" s="190"/>
      <c r="L10" s="203" t="s">
        <v>65</v>
      </c>
      <c r="M10" s="203"/>
      <c r="N10" s="213"/>
      <c r="O10" s="215"/>
      <c r="P10" s="206"/>
      <c r="Q10" s="178"/>
      <c r="R10" s="177"/>
      <c r="S10" s="178"/>
      <c r="T10" s="177"/>
      <c r="U10" s="179"/>
      <c r="V10" s="175" t="str">
        <f t="shared" si="2"/>
        <v/>
      </c>
      <c r="W10" s="175"/>
      <c r="X10" s="175" t="str">
        <f t="shared" si="0"/>
        <v/>
      </c>
      <c r="Y10" s="175"/>
      <c r="Z10" s="175" t="str">
        <f t="shared" si="3"/>
        <v/>
      </c>
      <c r="AA10" s="176"/>
      <c r="AD10" s="37" t="e">
        <f t="shared" si="4"/>
        <v>#VALUE!</v>
      </c>
      <c r="AE10" s="37" t="e">
        <f t="shared" si="5"/>
        <v>#VALUE!</v>
      </c>
      <c r="AG10" s="40" t="b">
        <v>0</v>
      </c>
      <c r="AH10" s="37" t="str">
        <f t="shared" si="6"/>
        <v>エラー</v>
      </c>
      <c r="AI10" s="37" t="str">
        <f t="shared" si="7"/>
        <v>エラー</v>
      </c>
      <c r="AK10" s="37" t="e">
        <f t="shared" si="8"/>
        <v>#DIV/0!</v>
      </c>
      <c r="AL10" s="37" t="e">
        <f t="shared" si="9"/>
        <v>#DIV/0!</v>
      </c>
      <c r="AN10" s="37" t="e">
        <f>IF(共通条件・結果!$AA$7="８地域",H10,IF(AO10="FALSE",H10,IF(L10="風除室",1/((1/H10)+0.1),0.5*H10+0.5*(1/((1/H10)+AO10)))))</f>
        <v>#DIV/0!</v>
      </c>
      <c r="AO10" s="39" t="b">
        <f t="shared" si="1"/>
        <v>0</v>
      </c>
    </row>
    <row r="11" spans="2:41" s="37" customFormat="1" ht="21.9" customHeight="1" x14ac:dyDescent="0.2">
      <c r="B11" s="185"/>
      <c r="C11" s="186"/>
      <c r="D11" s="187"/>
      <c r="E11" s="188"/>
      <c r="F11" s="188"/>
      <c r="G11" s="189"/>
      <c r="H11" s="190"/>
      <c r="I11" s="190"/>
      <c r="J11" s="190"/>
      <c r="K11" s="190"/>
      <c r="L11" s="203" t="s">
        <v>65</v>
      </c>
      <c r="M11" s="203"/>
      <c r="N11" s="213"/>
      <c r="O11" s="215"/>
      <c r="P11" s="206"/>
      <c r="Q11" s="178"/>
      <c r="R11" s="177"/>
      <c r="S11" s="178"/>
      <c r="T11" s="177"/>
      <c r="U11" s="179"/>
      <c r="V11" s="175" t="str">
        <f t="shared" si="2"/>
        <v/>
      </c>
      <c r="W11" s="175"/>
      <c r="X11" s="175" t="str">
        <f t="shared" si="0"/>
        <v/>
      </c>
      <c r="Y11" s="175"/>
      <c r="Z11" s="175" t="str">
        <f t="shared" si="3"/>
        <v/>
      </c>
      <c r="AA11" s="176"/>
      <c r="AD11" s="37" t="e">
        <f t="shared" si="4"/>
        <v>#VALUE!</v>
      </c>
      <c r="AE11" s="37" t="e">
        <f t="shared" si="5"/>
        <v>#VALUE!</v>
      </c>
      <c r="AG11" s="40" t="b">
        <v>0</v>
      </c>
      <c r="AH11" s="37" t="str">
        <f t="shared" si="6"/>
        <v>エラー</v>
      </c>
      <c r="AI11" s="37" t="str">
        <f t="shared" si="7"/>
        <v>エラー</v>
      </c>
      <c r="AK11" s="37" t="e">
        <f t="shared" si="8"/>
        <v>#DIV/0!</v>
      </c>
      <c r="AL11" s="37" t="e">
        <f t="shared" si="9"/>
        <v>#DIV/0!</v>
      </c>
      <c r="AN11" s="37" t="e">
        <f>IF(共通条件・結果!$AA$7="８地域",H11,IF(AO11="FALSE",H11,IF(L11="風除室",1/((1/H11)+0.1),0.5*H11+0.5*(1/((1/H11)+AO11)))))</f>
        <v>#DIV/0!</v>
      </c>
      <c r="AO11" s="39" t="b">
        <f t="shared" si="1"/>
        <v>0</v>
      </c>
    </row>
    <row r="12" spans="2:41" s="37" customFormat="1" ht="21.9" customHeight="1" x14ac:dyDescent="0.2">
      <c r="B12" s="185"/>
      <c r="C12" s="205"/>
      <c r="D12" s="207"/>
      <c r="E12" s="208"/>
      <c r="F12" s="209"/>
      <c r="G12" s="210"/>
      <c r="H12" s="207"/>
      <c r="I12" s="210"/>
      <c r="J12" s="207"/>
      <c r="K12" s="210"/>
      <c r="L12" s="211"/>
      <c r="M12" s="212"/>
      <c r="N12" s="213"/>
      <c r="O12" s="214"/>
      <c r="P12" s="206"/>
      <c r="Q12" s="178"/>
      <c r="R12" s="177"/>
      <c r="S12" s="178"/>
      <c r="T12" s="177"/>
      <c r="U12" s="179"/>
      <c r="V12" s="175" t="str">
        <f t="shared" ref="V12:V13" si="10">IF(D12="","",AD12)</f>
        <v/>
      </c>
      <c r="W12" s="175"/>
      <c r="X12" s="175" t="str">
        <f t="shared" ref="X12:X13" si="11">IF(D12="","",IF(ISERROR(AE12),"-",AE12))</f>
        <v/>
      </c>
      <c r="Y12" s="175"/>
      <c r="Z12" s="175" t="str">
        <f t="shared" ref="Z12:Z13" si="12">IF(D12="","",D12*F12*AN12)</f>
        <v/>
      </c>
      <c r="AA12" s="176"/>
      <c r="AD12" s="37" t="e">
        <f t="shared" ref="AD12:AD13" si="13">D12*F12*J12*$V$4*AH12</f>
        <v>#VALUE!</v>
      </c>
      <c r="AE12" s="37" t="e">
        <f t="shared" ref="AE12:AE13" si="14">D12*F12*J12*$X$4*AI12</f>
        <v>#VALUE!</v>
      </c>
      <c r="AG12" s="40" t="b">
        <v>0</v>
      </c>
      <c r="AH12" s="37" t="str">
        <f t="shared" ref="AH12:AH13" si="15">IF(AG12=TRUE,"0.93",IF(ISERROR(AK12),"エラー",IF(AK12&gt;0.93,"0.93",AK12)))</f>
        <v>エラー</v>
      </c>
      <c r="AI12" s="37" t="str">
        <f t="shared" ref="AI12:AI13" si="16">IF(AG12=TRUE,"0.51",IF(ISERROR(AL12),"エラー",IF(AL12&gt;0.72,"0.72",AL12)))</f>
        <v>エラー</v>
      </c>
      <c r="AK12" s="37" t="e">
        <f t="shared" ref="AK12:AK13" si="17">0.01*(16+24*(2*R12+T12)/P12)</f>
        <v>#DIV/0!</v>
      </c>
      <c r="AL12" s="37" t="e">
        <f t="shared" ref="AL12:AL13" si="18">0.01*(10+15*(2*R12+T12)/P12)</f>
        <v>#DIV/0!</v>
      </c>
      <c r="AN12" s="37">
        <f>IF(共通条件・結果!$AA$7="８地域",H12,IF(AO12="FALSE",H12,IF(L12="風除室",1/((1/H12)+0.1),0.5*H12+0.5*(1/((1/H12)+AO12)))))</f>
        <v>0</v>
      </c>
      <c r="AO12" s="95" t="str">
        <f t="shared" ref="AO12:AO13" si="19">IF(L12="","FALSE",IF(L12="雨戸",0.1,IF(L12="ｼｬｯﾀｰ",0.1,IF(L12="障子",0.18,IF(L12="風除室",0.1)))))</f>
        <v>FALSE</v>
      </c>
    </row>
    <row r="13" spans="2:41" s="37" customFormat="1" ht="21.9" customHeight="1" x14ac:dyDescent="0.2">
      <c r="B13" s="185"/>
      <c r="C13" s="205"/>
      <c r="D13" s="207"/>
      <c r="E13" s="208"/>
      <c r="F13" s="209"/>
      <c r="G13" s="210"/>
      <c r="H13" s="207"/>
      <c r="I13" s="210"/>
      <c r="J13" s="207"/>
      <c r="K13" s="210"/>
      <c r="L13" s="211"/>
      <c r="M13" s="212"/>
      <c r="N13" s="213"/>
      <c r="O13" s="214"/>
      <c r="P13" s="206"/>
      <c r="Q13" s="178"/>
      <c r="R13" s="177"/>
      <c r="S13" s="178"/>
      <c r="T13" s="177"/>
      <c r="U13" s="179"/>
      <c r="V13" s="175" t="str">
        <f t="shared" si="10"/>
        <v/>
      </c>
      <c r="W13" s="175"/>
      <c r="X13" s="175" t="str">
        <f t="shared" si="11"/>
        <v/>
      </c>
      <c r="Y13" s="175"/>
      <c r="Z13" s="175" t="str">
        <f t="shared" si="12"/>
        <v/>
      </c>
      <c r="AA13" s="176"/>
      <c r="AD13" s="37" t="e">
        <f t="shared" si="13"/>
        <v>#VALUE!</v>
      </c>
      <c r="AE13" s="37" t="e">
        <f t="shared" si="14"/>
        <v>#VALUE!</v>
      </c>
      <c r="AG13" s="40" t="b">
        <v>0</v>
      </c>
      <c r="AH13" s="37" t="str">
        <f t="shared" si="15"/>
        <v>エラー</v>
      </c>
      <c r="AI13" s="37" t="str">
        <f t="shared" si="16"/>
        <v>エラー</v>
      </c>
      <c r="AK13" s="37" t="e">
        <f t="shared" si="17"/>
        <v>#DIV/0!</v>
      </c>
      <c r="AL13" s="37" t="e">
        <f t="shared" si="18"/>
        <v>#DIV/0!</v>
      </c>
      <c r="AN13" s="37">
        <f>IF(共通条件・結果!$AA$7="８地域",H13,IF(AO13="FALSE",H13,IF(L13="風除室",1/((1/H13)+0.1),0.5*H13+0.5*(1/((1/H13)+AO13)))))</f>
        <v>0</v>
      </c>
      <c r="AO13" s="95" t="str">
        <f t="shared" si="19"/>
        <v>FALSE</v>
      </c>
    </row>
    <row r="14" spans="2:41" s="37" customFormat="1" ht="21.9" customHeight="1" x14ac:dyDescent="0.2">
      <c r="B14" s="185"/>
      <c r="C14" s="186"/>
      <c r="D14" s="187"/>
      <c r="E14" s="188"/>
      <c r="F14" s="188"/>
      <c r="G14" s="189"/>
      <c r="H14" s="190"/>
      <c r="I14" s="190"/>
      <c r="J14" s="190"/>
      <c r="K14" s="190"/>
      <c r="L14" s="203" t="s">
        <v>65</v>
      </c>
      <c r="M14" s="203"/>
      <c r="N14" s="213"/>
      <c r="O14" s="215"/>
      <c r="P14" s="206"/>
      <c r="Q14" s="178"/>
      <c r="R14" s="177"/>
      <c r="S14" s="178"/>
      <c r="T14" s="177"/>
      <c r="U14" s="179"/>
      <c r="V14" s="175" t="str">
        <f t="shared" si="2"/>
        <v/>
      </c>
      <c r="W14" s="175"/>
      <c r="X14" s="175" t="str">
        <f t="shared" si="0"/>
        <v/>
      </c>
      <c r="Y14" s="175"/>
      <c r="Z14" s="175" t="str">
        <f t="shared" si="3"/>
        <v/>
      </c>
      <c r="AA14" s="176"/>
      <c r="AD14" s="37" t="e">
        <f t="shared" si="4"/>
        <v>#VALUE!</v>
      </c>
      <c r="AE14" s="37" t="e">
        <f t="shared" si="5"/>
        <v>#VALUE!</v>
      </c>
      <c r="AG14" s="40" t="b">
        <v>0</v>
      </c>
      <c r="AH14" s="37" t="str">
        <f t="shared" si="6"/>
        <v>エラー</v>
      </c>
      <c r="AI14" s="37" t="str">
        <f t="shared" si="7"/>
        <v>エラー</v>
      </c>
      <c r="AK14" s="37" t="e">
        <f t="shared" si="8"/>
        <v>#DIV/0!</v>
      </c>
      <c r="AL14" s="37" t="e">
        <f t="shared" si="9"/>
        <v>#DIV/0!</v>
      </c>
      <c r="AN14" s="37" t="e">
        <f>IF(共通条件・結果!$AA$7="８地域",H14,IF(AO14="FALSE",H14,IF(L14="風除室",1/((1/H14)+0.1),0.5*H14+0.5*(1/((1/H14)+AO14)))))</f>
        <v>#DIV/0!</v>
      </c>
      <c r="AO14" s="39" t="b">
        <f t="shared" si="1"/>
        <v>0</v>
      </c>
    </row>
    <row r="15" spans="2:41" s="37" customFormat="1" ht="21.9" customHeight="1" x14ac:dyDescent="0.2">
      <c r="B15" s="185"/>
      <c r="C15" s="186"/>
      <c r="D15" s="187"/>
      <c r="E15" s="188"/>
      <c r="F15" s="188"/>
      <c r="G15" s="189"/>
      <c r="H15" s="190"/>
      <c r="I15" s="190"/>
      <c r="J15" s="190"/>
      <c r="K15" s="190"/>
      <c r="L15" s="203" t="s">
        <v>65</v>
      </c>
      <c r="M15" s="203"/>
      <c r="N15" s="213"/>
      <c r="O15" s="215"/>
      <c r="P15" s="206"/>
      <c r="Q15" s="178"/>
      <c r="R15" s="177"/>
      <c r="S15" s="178"/>
      <c r="T15" s="177"/>
      <c r="U15" s="179"/>
      <c r="V15" s="180" t="str">
        <f t="shared" si="2"/>
        <v/>
      </c>
      <c r="W15" s="181"/>
      <c r="X15" s="175" t="str">
        <f t="shared" si="0"/>
        <v/>
      </c>
      <c r="Y15" s="175"/>
      <c r="Z15" s="175" t="str">
        <f t="shared" si="3"/>
        <v/>
      </c>
      <c r="AA15" s="176"/>
      <c r="AD15" s="37" t="e">
        <f t="shared" si="4"/>
        <v>#VALUE!</v>
      </c>
      <c r="AE15" s="37" t="e">
        <f t="shared" si="5"/>
        <v>#VALUE!</v>
      </c>
      <c r="AG15" s="40" t="b">
        <v>0</v>
      </c>
      <c r="AH15" s="37" t="str">
        <f t="shared" si="6"/>
        <v>エラー</v>
      </c>
      <c r="AI15" s="37" t="str">
        <f t="shared" si="7"/>
        <v>エラー</v>
      </c>
      <c r="AK15" s="37" t="e">
        <f t="shared" si="8"/>
        <v>#DIV/0!</v>
      </c>
      <c r="AL15" s="37" t="e">
        <f t="shared" si="9"/>
        <v>#DIV/0!</v>
      </c>
      <c r="AN15" s="37" t="e">
        <f>IF(共通条件・結果!$AA$7="８地域",H15,IF(AO15="FALSE",H15,IF(L15="風除室",1/((1/H15)+0.1),0.5*H15+0.5*(1/((1/H15)+AO15)))))</f>
        <v>#DIV/0!</v>
      </c>
      <c r="AO15" s="39" t="b">
        <f t="shared" si="1"/>
        <v>0</v>
      </c>
    </row>
    <row r="16" spans="2:41" s="37" customFormat="1" ht="21.9" customHeight="1" x14ac:dyDescent="0.2">
      <c r="B16" s="185"/>
      <c r="C16" s="186"/>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 t="shared" si="8"/>
        <v>#DIV/0!</v>
      </c>
      <c r="AL16" s="37" t="e">
        <f t="shared" si="9"/>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 t="shared" si="8"/>
        <v>#DIV/0!</v>
      </c>
      <c r="AL17" s="37" t="e">
        <f t="shared" si="9"/>
        <v>#DIV/0!</v>
      </c>
      <c r="AN17" s="37" t="e">
        <f>IF(共通条件・結果!$AA$7="８地域",H17,IF(AO17="FALSE",H17,IF(L17="風除室",1/((1/H17)+0.1),0.5*H17+0.5*(1/((1/H17)+AO17)))))</f>
        <v>#DIV/0!</v>
      </c>
      <c r="AO17" s="39" t="b">
        <f t="shared" si="1"/>
        <v>0</v>
      </c>
    </row>
    <row r="18" spans="2:41" s="37" customFormat="1" ht="21.9" customHeight="1" x14ac:dyDescent="0.2">
      <c r="B18" s="185"/>
      <c r="C18" s="186"/>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 t="shared" si="8"/>
        <v>#DIV/0!</v>
      </c>
      <c r="AL18" s="37" t="e">
        <f t="shared" si="9"/>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 t="shared" si="8"/>
        <v>#DIV/0!</v>
      </c>
      <c r="AL19" s="37" t="e">
        <f t="shared" si="9"/>
        <v>#DIV/0!</v>
      </c>
      <c r="AN19" s="37" t="e">
        <f>IF(共通条件・結果!$AA$7="８地域",H19,IF(AO19="FALSE",H19,IF(L19="風除室",1/((1/H19)+0.1),0.5*H19+0.5*(1/((1/H19)+AO19)))))</f>
        <v>#DIV/0!</v>
      </c>
      <c r="AO19" s="39" t="b">
        <f t="shared" si="1"/>
        <v>0</v>
      </c>
    </row>
    <row r="20" spans="2:41" s="37" customFormat="1" ht="21.9" customHeight="1" thickBot="1" x14ac:dyDescent="0.25">
      <c r="B20" s="285" t="s">
        <v>119</v>
      </c>
      <c r="C20" s="286"/>
      <c r="D20" s="286"/>
      <c r="E20" s="286"/>
      <c r="F20" s="286"/>
      <c r="G20" s="286"/>
      <c r="H20" s="286"/>
      <c r="I20" s="286"/>
      <c r="J20" s="286"/>
      <c r="K20" s="286"/>
      <c r="L20" s="286"/>
      <c r="M20" s="286"/>
      <c r="N20" s="286"/>
      <c r="O20" s="286"/>
      <c r="P20" s="286"/>
      <c r="Q20" s="286"/>
      <c r="R20" s="286"/>
      <c r="S20" s="286"/>
      <c r="T20" s="286"/>
      <c r="U20" s="286"/>
      <c r="V20" s="287">
        <f>SUM(V8:W19)</f>
        <v>0</v>
      </c>
      <c r="W20" s="287"/>
      <c r="X20" s="287">
        <f>SUM(X8:Y19)</f>
        <v>0</v>
      </c>
      <c r="Y20" s="287"/>
      <c r="Z20" s="287">
        <f>SUM(Z8:AA19)</f>
        <v>0</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143</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c r="K33" s="184"/>
      <c r="L33" s="316"/>
      <c r="M33" s="317"/>
      <c r="N33" s="316"/>
      <c r="O33" s="317"/>
      <c r="P33" s="318" t="str">
        <f>IF(L33="","",L33-N33)</f>
        <v/>
      </c>
      <c r="Q33" s="319"/>
      <c r="R33" s="267"/>
      <c r="S33" s="267"/>
      <c r="T33" s="320"/>
      <c r="U33" s="320"/>
      <c r="V33" s="321" t="str">
        <f>IF(P33="","",IF(AD33=TRUE,0,P33*R33*0.034*$V$4))</f>
        <v/>
      </c>
      <c r="W33" s="321"/>
      <c r="X33" s="322" t="str">
        <f>IF(P33="","",IF(ISERROR(P33*R33*0.034*$X$4),"-",IF(AD33=TRUE,0,P33*R33*0.034*$X$4)))</f>
        <v/>
      </c>
      <c r="Y33" s="323"/>
      <c r="Z33" s="321" t="str">
        <f>IF(R33="","",IF(AD33=TRUE,0.7*R33*P33,R33*P33))</f>
        <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c r="K34" s="205"/>
      <c r="L34" s="207"/>
      <c r="M34" s="210"/>
      <c r="N34" s="207"/>
      <c r="O34" s="210"/>
      <c r="P34" s="313" t="str">
        <f t="shared" ref="P34:P35" si="20">IF(L34="","",L34-N34)</f>
        <v/>
      </c>
      <c r="Q34" s="314"/>
      <c r="R34" s="207"/>
      <c r="S34" s="210"/>
      <c r="T34" s="352"/>
      <c r="U34" s="353"/>
      <c r="V34" s="180" t="str">
        <f t="shared" ref="V34:V35" si="21">IF(P34="","",IF(AD34=TRUE,0,P34*R34*0.034*$V$4))</f>
        <v/>
      </c>
      <c r="W34" s="181"/>
      <c r="X34" s="180" t="str">
        <f t="shared" ref="X34:X35" si="22">IF(P34="","",IF(ISERROR(P34*R34*0.034*$X$4),"-",IF(AD34=TRUE,0,P34*R34*0.034*$X$4)))</f>
        <v/>
      </c>
      <c r="Y34" s="181"/>
      <c r="Z34" s="180" t="str">
        <f t="shared" ref="Z34:Z35" si="23">IF(R34="","",IF(AD34=TRUE,0.7*R34*P34,R34*P34))</f>
        <v/>
      </c>
      <c r="AA34" s="182"/>
      <c r="AD34" s="40" t="b">
        <v>0</v>
      </c>
      <c r="AE34" s="40">
        <f t="shared" ref="AE34:AE35" si="24">IF(AD34=TRUE,0.7,1)</f>
        <v>1</v>
      </c>
      <c r="AF34" s="40" t="str">
        <f t="shared" ref="AF34:AF35" si="25">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20"/>
        <v/>
      </c>
      <c r="Q35" s="314"/>
      <c r="R35" s="207"/>
      <c r="S35" s="210"/>
      <c r="T35" s="352"/>
      <c r="U35" s="353"/>
      <c r="V35" s="180" t="str">
        <f t="shared" si="21"/>
        <v/>
      </c>
      <c r="W35" s="181"/>
      <c r="X35" s="180" t="str">
        <f t="shared" si="22"/>
        <v/>
      </c>
      <c r="Y35" s="181"/>
      <c r="Z35" s="180" t="str">
        <f t="shared" si="23"/>
        <v/>
      </c>
      <c r="AA35" s="182"/>
      <c r="AD35" s="40" t="b">
        <v>0</v>
      </c>
      <c r="AE35" s="40">
        <f t="shared" si="24"/>
        <v>1</v>
      </c>
      <c r="AF35" s="40" t="str">
        <f t="shared" si="25"/>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118</v>
      </c>
      <c r="K38" s="286"/>
      <c r="L38" s="286"/>
      <c r="M38" s="286"/>
      <c r="N38" s="286"/>
      <c r="O38" s="286"/>
      <c r="P38" s="286"/>
      <c r="Q38" s="286"/>
      <c r="R38" s="286"/>
      <c r="S38" s="286"/>
      <c r="T38" s="286"/>
      <c r="U38" s="312"/>
      <c r="V38" s="287">
        <f>SUM(V33:W37)</f>
        <v>0</v>
      </c>
      <c r="W38" s="287"/>
      <c r="X38" s="287">
        <f>SUM(X33:Y37)</f>
        <v>0</v>
      </c>
      <c r="Y38" s="287"/>
      <c r="Z38" s="287">
        <f>SUM(Z33:AA37)</f>
        <v>0</v>
      </c>
      <c r="AA38" s="288"/>
    </row>
    <row r="39" spans="2:32" s="37" customFormat="1" ht="9.9" customHeight="1" x14ac:dyDescent="0.2"/>
    <row r="40" spans="2:32" s="37" customFormat="1" ht="21.9" customHeight="1" thickBot="1" x14ac:dyDescent="0.25">
      <c r="B40" s="38" t="s">
        <v>117</v>
      </c>
    </row>
    <row r="41" spans="2:32" s="37" customFormat="1" ht="21.9" customHeight="1" x14ac:dyDescent="0.2">
      <c r="B41" s="291" t="s">
        <v>102</v>
      </c>
      <c r="C41" s="292"/>
      <c r="D41" s="305" t="s">
        <v>56</v>
      </c>
      <c r="E41" s="306"/>
      <c r="F41" s="306"/>
      <c r="G41" s="306"/>
      <c r="H41" s="306"/>
      <c r="I41" s="306"/>
      <c r="J41" s="307"/>
      <c r="K41" s="42"/>
      <c r="L41" s="301">
        <f>Q41+U41+Y41</f>
        <v>0</v>
      </c>
      <c r="M41" s="301"/>
      <c r="N41" s="301"/>
      <c r="O41" s="42" t="s">
        <v>24</v>
      </c>
      <c r="P41" s="43" t="s">
        <v>23</v>
      </c>
      <c r="Q41" s="302">
        <f>D8*F8+D9*F9+D10*F10+D11*F11+D12*F12+D13*F13+D14*F14+D15*F15+D16*F16+D17*F17+D18*F18+D19*F19</f>
        <v>0</v>
      </c>
      <c r="R41" s="302"/>
      <c r="S41" s="44" t="s">
        <v>25</v>
      </c>
      <c r="T41" s="44" t="s">
        <v>22</v>
      </c>
      <c r="U41" s="303">
        <f>N25*P25+N26*P26+N27*P27</f>
        <v>0</v>
      </c>
      <c r="V41" s="303"/>
      <c r="W41" s="44" t="s">
        <v>25</v>
      </c>
      <c r="X41" s="44" t="s">
        <v>1</v>
      </c>
      <c r="Y41" s="304">
        <f>SUM(P33:Q37)</f>
        <v>0</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0</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TAbIV07w8jgWQtYKms++Fv634Qk4+ittq1iQ0UuVDjlVcPwaUE21loTRu1a4DuXQhGKk8Nl+j+XUm5F/tymtLA==" saltValue="xz6YEcroW+JnMPtUMEXm2w==" spinCount="100000" sheet="1" objects="1" scenarios="1" selectLockedCells="1"/>
  <mergeCells count="293">
    <mergeCell ref="L34:M34"/>
    <mergeCell ref="L35:M35"/>
    <mergeCell ref="N34:O34"/>
    <mergeCell ref="N35:O35"/>
    <mergeCell ref="P34:Q34"/>
    <mergeCell ref="P35:Q35"/>
    <mergeCell ref="J27:M27"/>
    <mergeCell ref="J31:K32"/>
    <mergeCell ref="J28:U28"/>
    <mergeCell ref="N27:O27"/>
    <mergeCell ref="P27:Q27"/>
    <mergeCell ref="R27:S27"/>
    <mergeCell ref="T27:U27"/>
    <mergeCell ref="L33:M33"/>
    <mergeCell ref="N33:O33"/>
    <mergeCell ref="P33:Q33"/>
    <mergeCell ref="L31:M32"/>
    <mergeCell ref="N31:O32"/>
    <mergeCell ref="P31:Q32"/>
    <mergeCell ref="R31:S32"/>
    <mergeCell ref="T31:U32"/>
    <mergeCell ref="R33:S33"/>
    <mergeCell ref="T33:U33"/>
    <mergeCell ref="Z12:AA12"/>
    <mergeCell ref="J26:M26"/>
    <mergeCell ref="N26:O26"/>
    <mergeCell ref="P26:Q26"/>
    <mergeCell ref="R26:S26"/>
    <mergeCell ref="T26:U26"/>
    <mergeCell ref="N12:O12"/>
    <mergeCell ref="N13:O13"/>
    <mergeCell ref="L14:M14"/>
    <mergeCell ref="N14:O14"/>
    <mergeCell ref="P14:Q14"/>
    <mergeCell ref="R14:S14"/>
    <mergeCell ref="N16:O16"/>
    <mergeCell ref="P16:Q16"/>
    <mergeCell ref="R16:S16"/>
    <mergeCell ref="T15:U15"/>
    <mergeCell ref="B20:U20"/>
    <mergeCell ref="L19:M19"/>
    <mergeCell ref="N19:O19"/>
    <mergeCell ref="P19:Q19"/>
    <mergeCell ref="R19:S19"/>
    <mergeCell ref="B19:C19"/>
    <mergeCell ref="D19:E19"/>
    <mergeCell ref="F19:G19"/>
    <mergeCell ref="B12:C12"/>
    <mergeCell ref="B13:C13"/>
    <mergeCell ref="D12:E12"/>
    <mergeCell ref="D13:E13"/>
    <mergeCell ref="F12:G12"/>
    <mergeCell ref="F13:G13"/>
    <mergeCell ref="H12:I12"/>
    <mergeCell ref="H13:I13"/>
    <mergeCell ref="J12:K12"/>
    <mergeCell ref="J13:K13"/>
    <mergeCell ref="Z13:AA13"/>
    <mergeCell ref="V26:W26"/>
    <mergeCell ref="X26:Y26"/>
    <mergeCell ref="Z26:AA26"/>
    <mergeCell ref="V14:W14"/>
    <mergeCell ref="X14:Y14"/>
    <mergeCell ref="Z14:AA14"/>
    <mergeCell ref="X19:Y19"/>
    <mergeCell ref="Z19:AA19"/>
    <mergeCell ref="V20:W20"/>
    <mergeCell ref="X20:Y20"/>
    <mergeCell ref="Z20:AA20"/>
    <mergeCell ref="V25:W25"/>
    <mergeCell ref="X25:Y25"/>
    <mergeCell ref="Z25:AA25"/>
    <mergeCell ref="V15:W15"/>
    <mergeCell ref="X15:Y15"/>
    <mergeCell ref="Z15:AA15"/>
    <mergeCell ref="V19:W19"/>
    <mergeCell ref="V13:W13"/>
    <mergeCell ref="L36:M36"/>
    <mergeCell ref="N36:O36"/>
    <mergeCell ref="P36:Q36"/>
    <mergeCell ref="J36:K36"/>
    <mergeCell ref="J33:K33"/>
    <mergeCell ref="R10:S10"/>
    <mergeCell ref="T9:U9"/>
    <mergeCell ref="D16:E16"/>
    <mergeCell ref="X13:Y13"/>
    <mergeCell ref="L12:M12"/>
    <mergeCell ref="L13:M13"/>
    <mergeCell ref="P12:Q12"/>
    <mergeCell ref="P13:Q13"/>
    <mergeCell ref="R12:S12"/>
    <mergeCell ref="R13:S13"/>
    <mergeCell ref="T12:U12"/>
    <mergeCell ref="T13:U13"/>
    <mergeCell ref="V12:W12"/>
    <mergeCell ref="X12:Y12"/>
    <mergeCell ref="R34:S34"/>
    <mergeCell ref="R35:S35"/>
    <mergeCell ref="H19:I19"/>
    <mergeCell ref="J34:K34"/>
    <mergeCell ref="J35:K35"/>
    <mergeCell ref="P8:Q8"/>
    <mergeCell ref="T10:U10"/>
    <mergeCell ref="T14:U14"/>
    <mergeCell ref="T16:U16"/>
    <mergeCell ref="N25:O25"/>
    <mergeCell ref="P25:Q25"/>
    <mergeCell ref="R25:S25"/>
    <mergeCell ref="T25:U25"/>
    <mergeCell ref="J23:M24"/>
    <mergeCell ref="J25:M25"/>
    <mergeCell ref="J19:K19"/>
    <mergeCell ref="T19:U19"/>
    <mergeCell ref="B2:AA2"/>
    <mergeCell ref="R4:U4"/>
    <mergeCell ref="V4:W4"/>
    <mergeCell ref="X4:Y4"/>
    <mergeCell ref="B5:C7"/>
    <mergeCell ref="D5:G5"/>
    <mergeCell ref="H5:I7"/>
    <mergeCell ref="J5:K7"/>
    <mergeCell ref="L5:M7"/>
    <mergeCell ref="N5:U5"/>
    <mergeCell ref="D6:E7"/>
    <mergeCell ref="F6:G7"/>
    <mergeCell ref="N6:O7"/>
    <mergeCell ref="P6:U6"/>
    <mergeCell ref="AD6:AE6"/>
    <mergeCell ref="AH6:AI6"/>
    <mergeCell ref="AK6:AL6"/>
    <mergeCell ref="AN6:AO6"/>
    <mergeCell ref="P7:Q7"/>
    <mergeCell ref="R7:S7"/>
    <mergeCell ref="T7:U7"/>
    <mergeCell ref="V5:W7"/>
    <mergeCell ref="X5:Y7"/>
    <mergeCell ref="Z5:AA7"/>
    <mergeCell ref="V9:W9"/>
    <mergeCell ref="X9:Y9"/>
    <mergeCell ref="Z9:AA9"/>
    <mergeCell ref="B8:C8"/>
    <mergeCell ref="D8:E8"/>
    <mergeCell ref="F8:G8"/>
    <mergeCell ref="H8:I8"/>
    <mergeCell ref="J8:K8"/>
    <mergeCell ref="L8:M8"/>
    <mergeCell ref="R8:S8"/>
    <mergeCell ref="T8:U8"/>
    <mergeCell ref="B9:C9"/>
    <mergeCell ref="D9:E9"/>
    <mergeCell ref="F9:G9"/>
    <mergeCell ref="H9:I9"/>
    <mergeCell ref="J9:K9"/>
    <mergeCell ref="L9:M9"/>
    <mergeCell ref="N9:O9"/>
    <mergeCell ref="P9:Q9"/>
    <mergeCell ref="R9:S9"/>
    <mergeCell ref="V8:W8"/>
    <mergeCell ref="X8:Y8"/>
    <mergeCell ref="Z8:AA8"/>
    <mergeCell ref="N8:O8"/>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J10:K10"/>
    <mergeCell ref="L10:M10"/>
    <mergeCell ref="N10:O10"/>
    <mergeCell ref="P10:Q10"/>
    <mergeCell ref="B15:C15"/>
    <mergeCell ref="D15:E15"/>
    <mergeCell ref="F15:G15"/>
    <mergeCell ref="H15:I15"/>
    <mergeCell ref="J15:K15"/>
    <mergeCell ref="L15:M15"/>
    <mergeCell ref="N15:O15"/>
    <mergeCell ref="P15:Q15"/>
    <mergeCell ref="R15:S15"/>
    <mergeCell ref="B14:C14"/>
    <mergeCell ref="D14:E14"/>
    <mergeCell ref="F14:G14"/>
    <mergeCell ref="H14:I14"/>
    <mergeCell ref="J14:K14"/>
    <mergeCell ref="Z18:AA18"/>
    <mergeCell ref="X18:Y18"/>
    <mergeCell ref="V16:W16"/>
    <mergeCell ref="X16:Y16"/>
    <mergeCell ref="Z16:AA16"/>
    <mergeCell ref="B17:C17"/>
    <mergeCell ref="D17:E17"/>
    <mergeCell ref="F17:G17"/>
    <mergeCell ref="H17:I17"/>
    <mergeCell ref="J17:K17"/>
    <mergeCell ref="L17:M17"/>
    <mergeCell ref="N17:O17"/>
    <mergeCell ref="P17:Q17"/>
    <mergeCell ref="R17:S17"/>
    <mergeCell ref="T17:U17"/>
    <mergeCell ref="V17:W17"/>
    <mergeCell ref="X17:Y17"/>
    <mergeCell ref="Z17:AA17"/>
    <mergeCell ref="B16:C16"/>
    <mergeCell ref="F16:G16"/>
    <mergeCell ref="H16:I16"/>
    <mergeCell ref="J16:K16"/>
    <mergeCell ref="L16:M16"/>
    <mergeCell ref="R18:S18"/>
    <mergeCell ref="T18:U18"/>
    <mergeCell ref="V18:W18"/>
    <mergeCell ref="B18:C18"/>
    <mergeCell ref="D18:E18"/>
    <mergeCell ref="F18:G18"/>
    <mergeCell ref="H18:I18"/>
    <mergeCell ref="J18:K18"/>
    <mergeCell ref="L18:M18"/>
    <mergeCell ref="N18:O18"/>
    <mergeCell ref="P18:Q18"/>
    <mergeCell ref="AN21:AO21"/>
    <mergeCell ref="N23:Q23"/>
    <mergeCell ref="R23:S24"/>
    <mergeCell ref="T23:U24"/>
    <mergeCell ref="V23:W24"/>
    <mergeCell ref="X23:Y24"/>
    <mergeCell ref="Z23:AA24"/>
    <mergeCell ref="AN23:AO23"/>
    <mergeCell ref="N24:O24"/>
    <mergeCell ref="P24:Q24"/>
    <mergeCell ref="V31:W32"/>
    <mergeCell ref="X31:Y32"/>
    <mergeCell ref="Z31:AA32"/>
    <mergeCell ref="X33:Y33"/>
    <mergeCell ref="V27:W27"/>
    <mergeCell ref="X27:Y27"/>
    <mergeCell ref="Z27:AA27"/>
    <mergeCell ref="V28:W28"/>
    <mergeCell ref="X28:Y28"/>
    <mergeCell ref="Z28:AA28"/>
    <mergeCell ref="Z33:AA33"/>
    <mergeCell ref="V33:W33"/>
    <mergeCell ref="R36:S36"/>
    <mergeCell ref="T36:U36"/>
    <mergeCell ref="V36:W36"/>
    <mergeCell ref="X37:Y37"/>
    <mergeCell ref="Z37:AA37"/>
    <mergeCell ref="T34:U34"/>
    <mergeCell ref="T35:U35"/>
    <mergeCell ref="V34:W34"/>
    <mergeCell ref="V35:W35"/>
    <mergeCell ref="X34:Y34"/>
    <mergeCell ref="X35:Y35"/>
    <mergeCell ref="Z34:AA34"/>
    <mergeCell ref="Z35:AA35"/>
    <mergeCell ref="X36:Y36"/>
    <mergeCell ref="Z36:AA36"/>
    <mergeCell ref="V38:W38"/>
    <mergeCell ref="X38:Y38"/>
    <mergeCell ref="Z38:AA38"/>
    <mergeCell ref="L37:M37"/>
    <mergeCell ref="N37:O37"/>
    <mergeCell ref="P37:Q37"/>
    <mergeCell ref="J37:K37"/>
    <mergeCell ref="D44:J44"/>
    <mergeCell ref="W44:Y44"/>
    <mergeCell ref="R37:S37"/>
    <mergeCell ref="T37:U37"/>
    <mergeCell ref="V37:W37"/>
    <mergeCell ref="J38:U38"/>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227" priority="48" stopIfTrue="1">
      <formula>$V$20=0</formula>
    </cfRule>
  </conditionalFormatting>
  <conditionalFormatting sqref="X20:Y20">
    <cfRule type="expression" dxfId="226" priority="47" stopIfTrue="1">
      <formula>$X$20=0</formula>
    </cfRule>
  </conditionalFormatting>
  <conditionalFormatting sqref="Z20:AA20">
    <cfRule type="expression" dxfId="225" priority="46" stopIfTrue="1">
      <formula>$Z$20=0</formula>
    </cfRule>
  </conditionalFormatting>
  <conditionalFormatting sqref="V28:W28">
    <cfRule type="expression" dxfId="224" priority="45" stopIfTrue="1">
      <formula>$V$28:$W$28=0</formula>
    </cfRule>
  </conditionalFormatting>
  <conditionalFormatting sqref="V38:W38">
    <cfRule type="expression" dxfId="223" priority="44" stopIfTrue="1">
      <formula>$V$38:$W$38=0</formula>
    </cfRule>
  </conditionalFormatting>
  <conditionalFormatting sqref="Y41:Z41">
    <cfRule type="expression" dxfId="222" priority="43" stopIfTrue="1">
      <formula>$Y$41=0</formula>
    </cfRule>
  </conditionalFormatting>
  <conditionalFormatting sqref="Q41:R41">
    <cfRule type="expression" dxfId="221" priority="42" stopIfTrue="1">
      <formula>$Q$41=0</formula>
    </cfRule>
  </conditionalFormatting>
  <conditionalFormatting sqref="U41:V41">
    <cfRule type="expression" dxfId="220" priority="41" stopIfTrue="1">
      <formula>$U$41=0</formula>
    </cfRule>
  </conditionalFormatting>
  <conditionalFormatting sqref="L41:N41">
    <cfRule type="expression" dxfId="219" priority="40" stopIfTrue="1">
      <formula>$L$41=0</formula>
    </cfRule>
  </conditionalFormatting>
  <conditionalFormatting sqref="X8:Y8">
    <cfRule type="expression" dxfId="218" priority="38" stopIfTrue="1">
      <formula>#VALUE!</formula>
    </cfRule>
    <cfRule type="expression" dxfId="217" priority="39" stopIfTrue="1">
      <formula>#VALUE!</formula>
    </cfRule>
  </conditionalFormatting>
  <conditionalFormatting sqref="X19:Y19">
    <cfRule type="expression" dxfId="216" priority="37" stopIfTrue="1">
      <formula>#VALUE!</formula>
    </cfRule>
  </conditionalFormatting>
  <conditionalFormatting sqref="X28:Y28">
    <cfRule type="expression" dxfId="215" priority="26" stopIfTrue="1">
      <formula>$X$28:$Y$28=0</formula>
    </cfRule>
  </conditionalFormatting>
  <conditionalFormatting sqref="Z28:AA28">
    <cfRule type="expression" dxfId="214" priority="25" stopIfTrue="1">
      <formula>$Z$28:$AA$28=0</formula>
    </cfRule>
  </conditionalFormatting>
  <conditionalFormatting sqref="X38:Y38">
    <cfRule type="expression" dxfId="213" priority="24" stopIfTrue="1">
      <formula>$X$38:$Y$38=0</formula>
    </cfRule>
  </conditionalFormatting>
  <conditionalFormatting sqref="Z38:AA38">
    <cfRule type="expression" dxfId="212" priority="23" stopIfTrue="1">
      <formula>$Z$38:$AA$38=0</formula>
    </cfRule>
  </conditionalFormatting>
  <conditionalFormatting sqref="P8:U8">
    <cfRule type="expression" dxfId="211" priority="12" stopIfTrue="1">
      <formula>$AG$8=TRUE</formula>
    </cfRule>
  </conditionalFormatting>
  <conditionalFormatting sqref="P15:U15">
    <cfRule type="expression" dxfId="210" priority="11" stopIfTrue="1">
      <formula>$AG$15=TRUE</formula>
    </cfRule>
  </conditionalFormatting>
  <conditionalFormatting sqref="P16:U16">
    <cfRule type="expression" dxfId="209" priority="10" stopIfTrue="1">
      <formula>$AG$16=TRUE</formula>
    </cfRule>
  </conditionalFormatting>
  <conditionalFormatting sqref="P17:U17">
    <cfRule type="expression" dxfId="208" priority="9" stopIfTrue="1">
      <formula>$AG$17=TRUE</formula>
    </cfRule>
  </conditionalFormatting>
  <conditionalFormatting sqref="P18:U18">
    <cfRule type="expression" dxfId="207" priority="8" stopIfTrue="1">
      <formula>$AG$18=TRUE</formula>
    </cfRule>
  </conditionalFormatting>
  <conditionalFormatting sqref="P19:U19">
    <cfRule type="expression" dxfId="206" priority="7" stopIfTrue="1">
      <formula>$AG$19=TRUE</formula>
    </cfRule>
  </conditionalFormatting>
  <conditionalFormatting sqref="P10:U10">
    <cfRule type="expression" dxfId="205" priority="6" stopIfTrue="1">
      <formula>$AG$10=TRUE</formula>
    </cfRule>
  </conditionalFormatting>
  <conditionalFormatting sqref="P11:U11">
    <cfRule type="expression" dxfId="204" priority="5" stopIfTrue="1">
      <formula>$AG$11=TRUE</formula>
    </cfRule>
  </conditionalFormatting>
  <conditionalFormatting sqref="P14:U14">
    <cfRule type="expression" dxfId="203" priority="4" stopIfTrue="1">
      <formula>$AG$14=TRUE</formula>
    </cfRule>
  </conditionalFormatting>
  <conditionalFormatting sqref="P9:U9">
    <cfRule type="expression" dxfId="202" priority="3" stopIfTrue="1">
      <formula>$AG$9=TRUE</formula>
    </cfRule>
  </conditionalFormatting>
  <conditionalFormatting sqref="P12:U12">
    <cfRule type="expression" dxfId="201" priority="2">
      <formula>$AG$12=TRUE</formula>
    </cfRule>
  </conditionalFormatting>
  <conditionalFormatting sqref="P13:U13">
    <cfRule type="expression" dxfId="200" priority="1">
      <formula>$AG$13=TRUE</formula>
    </cfRule>
  </conditionalFormatting>
  <dataValidations disablePrompts="1" count="1">
    <dataValidation type="list" allowBlank="1" showInputMessage="1" showErrorMessage="1" sqref="M14:M19 L8:L19 M8:M11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98326" r:id="rId14" name="Check Box 22">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98327" r:id="rId15" name="Check Box 23">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98328" r:id="rId16" name="Check Box 24">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98337" r:id="rId17" name="Check Box 33">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98339" r:id="rId18" name="Check Box 35">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98340" r:id="rId19" name="Check Box 36">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98341" r:id="rId20" name="Check Box 37">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AO106"/>
  <sheetViews>
    <sheetView showGridLines="0" view="pageBreakPreview" topLeftCell="A25" zoomScaleNormal="100" zoomScaleSheetLayoutView="100" workbookViewId="0">
      <selection activeCell="R33" sqref="R33:S33"/>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110</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354">
        <f>IF(共通条件・結果!AA7="８地域","0.515",IF(共通条件・結果!AA7="７地域",0.509,IF(共通条件・結果!AA7="６地域",0.512,IF(共通条件・結果!AA7="５地域",0.5,IF(共通条件・結果!AA7="４地域",0.518,IF(共通条件・結果!AA7="３地域",0.468,IF(共通条件・結果!AA7="２地域",0.503,IF(共通条件・結果!AA7="１地域",0.545))))))))</f>
        <v>0.503</v>
      </c>
      <c r="W4" s="355"/>
      <c r="X4" s="354">
        <f>IF(共通条件・結果!AA7="８地域","-",IF(共通条件・結果!AA7="７地域",0.543,IF(共通条件・結果!AA7="６地域",0.579,IF(共通条件・結果!AA7="５地域",0.568,IF(共通条件・結果!AA7="４地域",0.531,IF(共通条件・結果!AA7="３地域",0.54,IF(共通条件・結果!AA7="２地域",0.554,IF(共通条件・結果!AA7="１地域",0.564))))))))</f>
        <v>0.55400000000000005</v>
      </c>
      <c r="Y4" s="355"/>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c r="C8" s="263"/>
      <c r="D8" s="264"/>
      <c r="E8" s="265"/>
      <c r="F8" s="265"/>
      <c r="G8" s="266"/>
      <c r="H8" s="267"/>
      <c r="I8" s="267"/>
      <c r="J8" s="267"/>
      <c r="K8" s="267"/>
      <c r="L8" s="268"/>
      <c r="M8" s="268"/>
      <c r="N8" s="251"/>
      <c r="O8" s="252"/>
      <c r="P8" s="257"/>
      <c r="Q8" s="258"/>
      <c r="R8" s="259"/>
      <c r="S8" s="260"/>
      <c r="T8" s="261"/>
      <c r="U8" s="257"/>
      <c r="V8" s="256" t="str">
        <f>IF(D8="","",AD8)</f>
        <v/>
      </c>
      <c r="W8" s="256"/>
      <c r="X8" s="256" t="str">
        <f t="shared" ref="X8:X19" si="0">IF(D8="","",IF(ISERROR(AE8),"-",AE8))</f>
        <v/>
      </c>
      <c r="Y8" s="256"/>
      <c r="Z8" s="256" t="str">
        <f>IF(D8="","",D8*F8*AN8)</f>
        <v/>
      </c>
      <c r="AA8" s="262"/>
      <c r="AD8" s="37" t="e">
        <f>D8*F8*J8*$V$4*AH8</f>
        <v>#VALUE!</v>
      </c>
      <c r="AE8" s="37" t="e">
        <f>D8*F8*J8*$X$4*AI8</f>
        <v>#VALUE!</v>
      </c>
      <c r="AG8" s="40" t="b">
        <v>0</v>
      </c>
      <c r="AH8" s="37" t="str">
        <f>IF(AG8=TRUE,"0.93",IF(ISERROR(AK8),"エラー",IF(AK8&gt;0.93,"0.93",AK8)))</f>
        <v>エラー</v>
      </c>
      <c r="AI8" s="37" t="str">
        <f>IF(AG8=TRUE,"0.51",IF(ISERROR(AL8),"エラー",IF(AL8&gt;0.72,"0.72",AL8)))</f>
        <v>エラー</v>
      </c>
      <c r="AK8" s="37" t="e">
        <f>0.01*(16+24*(2*R8+T8)/P8)</f>
        <v>#DIV/0!</v>
      </c>
      <c r="AL8" s="37" t="e">
        <f>0.01*(10+15*(2*R8+T8)/P8)</f>
        <v>#DIV/0!</v>
      </c>
      <c r="AN8" s="37">
        <f>IF(共通条件・結果!$AA$7="８地域",H8,IF(AO8="FALSE",H8,IF(L8="風除室",1/((1/H8)+0.1),0.5*H8+0.5*(1/((1/H8)+AO8)))))</f>
        <v>0</v>
      </c>
      <c r="AO8" s="39" t="str">
        <f t="shared" ref="AO8:AO19" si="1">IF(L8="","FALSE",IF(L8="雨戸",0.1,IF(L8="ｼｬｯﾀｰ",0.1,IF(L8="障子",0.18,IF(L8="風除室",0.1)))))</f>
        <v>FALSE</v>
      </c>
    </row>
    <row r="9" spans="2:41" s="37" customFormat="1" ht="21.9" customHeight="1" x14ac:dyDescent="0.2">
      <c r="B9" s="185"/>
      <c r="C9" s="186"/>
      <c r="D9" s="187"/>
      <c r="E9" s="188"/>
      <c r="F9" s="188"/>
      <c r="G9" s="189"/>
      <c r="H9" s="190"/>
      <c r="I9" s="190"/>
      <c r="J9" s="190"/>
      <c r="K9" s="190"/>
      <c r="L9" s="203"/>
      <c r="M9" s="203"/>
      <c r="N9" s="213"/>
      <c r="O9" s="215"/>
      <c r="P9" s="269"/>
      <c r="Q9" s="206"/>
      <c r="R9" s="270"/>
      <c r="S9" s="271"/>
      <c r="T9" s="179"/>
      <c r="U9" s="269"/>
      <c r="V9" s="175" t="str">
        <f t="shared" ref="V9:V19" si="2">IF(D9="","",AD9)</f>
        <v/>
      </c>
      <c r="W9" s="175"/>
      <c r="X9" s="175" t="str">
        <f t="shared" si="0"/>
        <v/>
      </c>
      <c r="Y9" s="175"/>
      <c r="Z9" s="175" t="str">
        <f t="shared" ref="Z9:Z19" si="3">IF(D9="","",D9*F9*AN9)</f>
        <v/>
      </c>
      <c r="AA9" s="176"/>
      <c r="AD9" s="37" t="e">
        <f t="shared" ref="AD9:AD19" si="4">D9*F9*J9*$V$4*AH9</f>
        <v>#VALUE!</v>
      </c>
      <c r="AE9" s="37" t="e">
        <f t="shared" ref="AE9:AE19" si="5">D9*F9*J9*$X$4*AI9</f>
        <v>#VALUE!</v>
      </c>
      <c r="AG9" s="40" t="b">
        <v>0</v>
      </c>
      <c r="AH9" s="37" t="str">
        <f t="shared" ref="AH9:AH19" si="6">IF(AG9=TRUE,"0.93",IF(ISERROR(AK9),"エラー",IF(AK9&gt;0.93,"0.93",AK9)))</f>
        <v>エラー</v>
      </c>
      <c r="AI9" s="37" t="str">
        <f t="shared" ref="AI9:AI19" si="7">IF(AG9=TRUE,"0.51",IF(ISERROR(AL9),"エラー",IF(AL9&gt;0.72,"0.72",AL9)))</f>
        <v>エラー</v>
      </c>
      <c r="AK9" s="37" t="e">
        <f t="shared" ref="AK9:AK19" si="8">0.01*(16+24*(2*R9+T9)/P9)</f>
        <v>#DIV/0!</v>
      </c>
      <c r="AL9" s="37" t="e">
        <f t="shared" ref="AL9:AL19" si="9">0.01*(10+15*(2*R9+T9)/P9)</f>
        <v>#DIV/0!</v>
      </c>
      <c r="AN9" s="37">
        <f>IF(共通条件・結果!$AA$7="８地域",H9,IF(AO9="FALSE",H9,IF(L9="風除室",1/((1/H9)+0.1),0.5*H9+0.5*(1/((1/H9)+AO9)))))</f>
        <v>0</v>
      </c>
      <c r="AO9" s="39" t="str">
        <f t="shared" si="1"/>
        <v>FALSE</v>
      </c>
    </row>
    <row r="10" spans="2:41" s="37" customFormat="1" ht="21.9" customHeight="1" x14ac:dyDescent="0.2">
      <c r="B10" s="185"/>
      <c r="C10" s="186"/>
      <c r="D10" s="187"/>
      <c r="E10" s="188"/>
      <c r="F10" s="188"/>
      <c r="G10" s="189"/>
      <c r="H10" s="190"/>
      <c r="I10" s="190"/>
      <c r="J10" s="190"/>
      <c r="K10" s="190"/>
      <c r="L10" s="203"/>
      <c r="M10" s="203"/>
      <c r="N10" s="213"/>
      <c r="O10" s="215"/>
      <c r="P10" s="206"/>
      <c r="Q10" s="178"/>
      <c r="R10" s="177"/>
      <c r="S10" s="178"/>
      <c r="T10" s="177"/>
      <c r="U10" s="179"/>
      <c r="V10" s="175" t="str">
        <f t="shared" si="2"/>
        <v/>
      </c>
      <c r="W10" s="175"/>
      <c r="X10" s="175" t="str">
        <f t="shared" si="0"/>
        <v/>
      </c>
      <c r="Y10" s="175"/>
      <c r="Z10" s="175" t="str">
        <f t="shared" si="3"/>
        <v/>
      </c>
      <c r="AA10" s="176"/>
      <c r="AD10" s="37" t="e">
        <f t="shared" si="4"/>
        <v>#VALUE!</v>
      </c>
      <c r="AE10" s="37" t="e">
        <f t="shared" si="5"/>
        <v>#VALUE!</v>
      </c>
      <c r="AG10" s="40" t="b">
        <v>0</v>
      </c>
      <c r="AH10" s="37" t="str">
        <f t="shared" si="6"/>
        <v>エラー</v>
      </c>
      <c r="AI10" s="37" t="str">
        <f t="shared" si="7"/>
        <v>エラー</v>
      </c>
      <c r="AK10" s="37" t="e">
        <f t="shared" si="8"/>
        <v>#DIV/0!</v>
      </c>
      <c r="AL10" s="37" t="e">
        <f t="shared" si="9"/>
        <v>#DIV/0!</v>
      </c>
      <c r="AN10" s="37">
        <f>IF(共通条件・結果!$AA$7="８地域",H10,IF(AO10="FALSE",H10,IF(L10="風除室",1/((1/H10)+0.1),0.5*H10+0.5*(1/((1/H10)+AO10)))))</f>
        <v>0</v>
      </c>
      <c r="AO10" s="39" t="str">
        <f t="shared" si="1"/>
        <v>FALSE</v>
      </c>
    </row>
    <row r="11" spans="2:41" s="37" customFormat="1" ht="21.9" customHeight="1" x14ac:dyDescent="0.2">
      <c r="B11" s="185"/>
      <c r="C11" s="186"/>
      <c r="D11" s="187"/>
      <c r="E11" s="188"/>
      <c r="F11" s="188"/>
      <c r="G11" s="189"/>
      <c r="H11" s="190"/>
      <c r="I11" s="190"/>
      <c r="J11" s="190"/>
      <c r="K11" s="190"/>
      <c r="L11" s="203"/>
      <c r="M11" s="203"/>
      <c r="N11" s="213"/>
      <c r="O11" s="215"/>
      <c r="P11" s="206"/>
      <c r="Q11" s="178"/>
      <c r="R11" s="177"/>
      <c r="S11" s="178"/>
      <c r="T11" s="177"/>
      <c r="U11" s="179"/>
      <c r="V11" s="175" t="str">
        <f t="shared" si="2"/>
        <v/>
      </c>
      <c r="W11" s="175"/>
      <c r="X11" s="175" t="str">
        <f t="shared" si="0"/>
        <v/>
      </c>
      <c r="Y11" s="175"/>
      <c r="Z11" s="175" t="str">
        <f t="shared" si="3"/>
        <v/>
      </c>
      <c r="AA11" s="176"/>
      <c r="AD11" s="37" t="e">
        <f t="shared" si="4"/>
        <v>#VALUE!</v>
      </c>
      <c r="AE11" s="37" t="e">
        <f t="shared" si="5"/>
        <v>#VALUE!</v>
      </c>
      <c r="AG11" s="40" t="b">
        <v>0</v>
      </c>
      <c r="AH11" s="37" t="str">
        <f t="shared" si="6"/>
        <v>エラー</v>
      </c>
      <c r="AI11" s="37" t="str">
        <f t="shared" si="7"/>
        <v>エラー</v>
      </c>
      <c r="AK11" s="37" t="e">
        <f t="shared" si="8"/>
        <v>#DIV/0!</v>
      </c>
      <c r="AL11" s="37" t="e">
        <f t="shared" si="9"/>
        <v>#DIV/0!</v>
      </c>
      <c r="AN11" s="37">
        <f>IF(共通条件・結果!$AA$7="８地域",H11,IF(AO11="FALSE",H11,IF(L11="風除室",1/((1/H11)+0.1),0.5*H11+0.5*(1/((1/H11)+AO11)))))</f>
        <v>0</v>
      </c>
      <c r="AO11" s="39" t="str">
        <f t="shared" si="1"/>
        <v>FALSE</v>
      </c>
    </row>
    <row r="12" spans="2:41" s="37" customFormat="1" ht="21.9" customHeight="1" x14ac:dyDescent="0.2">
      <c r="B12" s="185"/>
      <c r="C12" s="205"/>
      <c r="D12" s="207"/>
      <c r="E12" s="208"/>
      <c r="F12" s="209"/>
      <c r="G12" s="210"/>
      <c r="H12" s="207"/>
      <c r="I12" s="210"/>
      <c r="J12" s="207"/>
      <c r="K12" s="210"/>
      <c r="L12" s="211"/>
      <c r="M12" s="212"/>
      <c r="N12" s="213"/>
      <c r="O12" s="214"/>
      <c r="P12" s="206"/>
      <c r="Q12" s="178"/>
      <c r="R12" s="177"/>
      <c r="S12" s="178"/>
      <c r="T12" s="177"/>
      <c r="U12" s="179"/>
      <c r="V12" s="180" t="str">
        <f t="shared" ref="V12:V13" si="10">IF(D12="","",AD12)</f>
        <v/>
      </c>
      <c r="W12" s="181"/>
      <c r="X12" s="180" t="str">
        <f t="shared" ref="X12:X13" si="11">IF(D12="","",IF(ISERROR(AE12),"-",AE12))</f>
        <v/>
      </c>
      <c r="Y12" s="181"/>
      <c r="Z12" s="180" t="str">
        <f t="shared" ref="Z12:Z13" si="12">IF(D12="","",D12*F12*AN12)</f>
        <v/>
      </c>
      <c r="AA12" s="182"/>
      <c r="AD12" s="37" t="e">
        <f t="shared" ref="AD12:AD13" si="13">D12*F12*J12*$V$4*AH12</f>
        <v>#VALUE!</v>
      </c>
      <c r="AE12" s="37" t="e">
        <f t="shared" ref="AE12:AE13" si="14">D12*F12*J12*$X$4*AI12</f>
        <v>#VALUE!</v>
      </c>
      <c r="AG12" s="40" t="b">
        <v>0</v>
      </c>
      <c r="AH12" s="37" t="str">
        <f t="shared" ref="AH12:AH13" si="15">IF(AG12=TRUE,"0.93",IF(ISERROR(AK12),"エラー",IF(AK12&gt;0.93,"0.93",AK12)))</f>
        <v>エラー</v>
      </c>
      <c r="AI12" s="37" t="str">
        <f t="shared" ref="AI12:AI13" si="16">IF(AG12=TRUE,"0.51",IF(ISERROR(AL12),"エラー",IF(AL12&gt;0.72,"0.72",AL12)))</f>
        <v>エラー</v>
      </c>
      <c r="AK12" s="37" t="e">
        <f t="shared" ref="AK12:AK13" si="17">0.01*(16+24*(2*R12+T12)/P12)</f>
        <v>#DIV/0!</v>
      </c>
      <c r="AL12" s="37" t="e">
        <f t="shared" ref="AL12:AL13" si="18">0.01*(10+15*(2*R12+T12)/P12)</f>
        <v>#DIV/0!</v>
      </c>
      <c r="AN12" s="37">
        <f>IF(共通条件・結果!$AA$7="８地域",H12,IF(AO12="FALSE",H12,IF(L12="風除室",1/((1/H12)+0.1),0.5*H12+0.5*(1/((1/H12)+AO12)))))</f>
        <v>0</v>
      </c>
      <c r="AO12" s="95" t="str">
        <f t="shared" ref="AO12:AO13" si="19">IF(L12="","FALSE",IF(L12="雨戸",0.1,IF(L12="ｼｬｯﾀｰ",0.1,IF(L12="障子",0.18,IF(L12="風除室",0.1)))))</f>
        <v>FALSE</v>
      </c>
    </row>
    <row r="13" spans="2:41" s="37" customFormat="1" ht="21.9" customHeight="1" x14ac:dyDescent="0.2">
      <c r="B13" s="185"/>
      <c r="C13" s="205"/>
      <c r="D13" s="207"/>
      <c r="E13" s="208"/>
      <c r="F13" s="209"/>
      <c r="G13" s="210"/>
      <c r="H13" s="207"/>
      <c r="I13" s="210"/>
      <c r="J13" s="207"/>
      <c r="K13" s="210"/>
      <c r="L13" s="211"/>
      <c r="M13" s="212"/>
      <c r="N13" s="213"/>
      <c r="O13" s="214"/>
      <c r="P13" s="206"/>
      <c r="Q13" s="178"/>
      <c r="R13" s="177"/>
      <c r="S13" s="178"/>
      <c r="T13" s="177"/>
      <c r="U13" s="179"/>
      <c r="V13" s="180" t="str">
        <f t="shared" si="10"/>
        <v/>
      </c>
      <c r="W13" s="181"/>
      <c r="X13" s="180" t="str">
        <f t="shared" si="11"/>
        <v/>
      </c>
      <c r="Y13" s="181"/>
      <c r="Z13" s="180" t="str">
        <f t="shared" si="12"/>
        <v/>
      </c>
      <c r="AA13" s="182"/>
      <c r="AD13" s="37" t="e">
        <f t="shared" si="13"/>
        <v>#VALUE!</v>
      </c>
      <c r="AE13" s="37" t="e">
        <f t="shared" si="14"/>
        <v>#VALUE!</v>
      </c>
      <c r="AG13" s="40" t="b">
        <v>0</v>
      </c>
      <c r="AH13" s="37" t="str">
        <f t="shared" si="15"/>
        <v>エラー</v>
      </c>
      <c r="AI13" s="37" t="str">
        <f t="shared" si="16"/>
        <v>エラー</v>
      </c>
      <c r="AK13" s="37" t="e">
        <f t="shared" si="17"/>
        <v>#DIV/0!</v>
      </c>
      <c r="AL13" s="37" t="e">
        <f t="shared" si="18"/>
        <v>#DIV/0!</v>
      </c>
      <c r="AN13" s="37">
        <f>IF(共通条件・結果!$AA$7="８地域",H13,IF(AO13="FALSE",H13,IF(L13="風除室",1/((1/H13)+0.1),0.5*H13+0.5*(1/((1/H13)+AO13)))))</f>
        <v>0</v>
      </c>
      <c r="AO13" s="95" t="str">
        <f t="shared" si="19"/>
        <v>FALSE</v>
      </c>
    </row>
    <row r="14" spans="2:41" s="37" customFormat="1" ht="21.9" customHeight="1" x14ac:dyDescent="0.2">
      <c r="B14" s="185"/>
      <c r="C14" s="186"/>
      <c r="D14" s="187"/>
      <c r="E14" s="188"/>
      <c r="F14" s="188"/>
      <c r="G14" s="189"/>
      <c r="H14" s="190"/>
      <c r="I14" s="190"/>
      <c r="J14" s="190"/>
      <c r="K14" s="190"/>
      <c r="L14" s="203"/>
      <c r="M14" s="203"/>
      <c r="N14" s="213"/>
      <c r="O14" s="215"/>
      <c r="P14" s="206"/>
      <c r="Q14" s="178"/>
      <c r="R14" s="177"/>
      <c r="S14" s="178"/>
      <c r="T14" s="177"/>
      <c r="U14" s="179"/>
      <c r="V14" s="175" t="str">
        <f t="shared" si="2"/>
        <v/>
      </c>
      <c r="W14" s="175"/>
      <c r="X14" s="175" t="str">
        <f t="shared" si="0"/>
        <v/>
      </c>
      <c r="Y14" s="175"/>
      <c r="Z14" s="175" t="str">
        <f t="shared" si="3"/>
        <v/>
      </c>
      <c r="AA14" s="176"/>
      <c r="AD14" s="37" t="e">
        <f t="shared" si="4"/>
        <v>#VALUE!</v>
      </c>
      <c r="AE14" s="37" t="e">
        <f t="shared" si="5"/>
        <v>#VALUE!</v>
      </c>
      <c r="AG14" s="40" t="b">
        <v>0</v>
      </c>
      <c r="AH14" s="37" t="str">
        <f t="shared" si="6"/>
        <v>エラー</v>
      </c>
      <c r="AI14" s="37" t="str">
        <f t="shared" si="7"/>
        <v>エラー</v>
      </c>
      <c r="AK14" s="37" t="e">
        <f t="shared" si="8"/>
        <v>#DIV/0!</v>
      </c>
      <c r="AL14" s="37" t="e">
        <f t="shared" si="9"/>
        <v>#DIV/0!</v>
      </c>
      <c r="AN14" s="37">
        <f>IF(共通条件・結果!$AA$7="８地域",H14,IF(AO14="FALSE",H14,IF(L14="風除室",1/((1/H14)+0.1),0.5*H14+0.5*(1/((1/H14)+AO14)))))</f>
        <v>0</v>
      </c>
      <c r="AO14" s="39" t="str">
        <f t="shared" si="1"/>
        <v>FALSE</v>
      </c>
    </row>
    <row r="15" spans="2:41" s="37" customFormat="1" ht="21.9" customHeight="1" x14ac:dyDescent="0.2">
      <c r="B15" s="185"/>
      <c r="C15" s="186"/>
      <c r="D15" s="187"/>
      <c r="E15" s="188"/>
      <c r="F15" s="188"/>
      <c r="G15" s="189"/>
      <c r="H15" s="190"/>
      <c r="I15" s="190"/>
      <c r="J15" s="190"/>
      <c r="K15" s="190"/>
      <c r="L15" s="203" t="s">
        <v>65</v>
      </c>
      <c r="M15" s="203"/>
      <c r="N15" s="213"/>
      <c r="O15" s="215"/>
      <c r="P15" s="206"/>
      <c r="Q15" s="178"/>
      <c r="R15" s="177"/>
      <c r="S15" s="178"/>
      <c r="T15" s="177"/>
      <c r="U15" s="179"/>
      <c r="V15" s="180" t="str">
        <f t="shared" si="2"/>
        <v/>
      </c>
      <c r="W15" s="181"/>
      <c r="X15" s="175" t="str">
        <f t="shared" si="0"/>
        <v/>
      </c>
      <c r="Y15" s="175"/>
      <c r="Z15" s="175" t="str">
        <f t="shared" si="3"/>
        <v/>
      </c>
      <c r="AA15" s="176"/>
      <c r="AD15" s="37" t="e">
        <f t="shared" si="4"/>
        <v>#VALUE!</v>
      </c>
      <c r="AE15" s="37" t="e">
        <f t="shared" si="5"/>
        <v>#VALUE!</v>
      </c>
      <c r="AG15" s="40" t="b">
        <v>0</v>
      </c>
      <c r="AH15" s="37" t="str">
        <f t="shared" si="6"/>
        <v>エラー</v>
      </c>
      <c r="AI15" s="37" t="str">
        <f t="shared" si="7"/>
        <v>エラー</v>
      </c>
      <c r="AK15" s="37" t="e">
        <f t="shared" si="8"/>
        <v>#DIV/0!</v>
      </c>
      <c r="AL15" s="37" t="e">
        <f t="shared" si="9"/>
        <v>#DIV/0!</v>
      </c>
      <c r="AN15" s="37" t="e">
        <f>IF(共通条件・結果!$AA$7="８地域",H15,IF(AO15="FALSE",H15,IF(L15="風除室",1/((1/H15)+0.1),0.5*H15+0.5*(1/((1/H15)+AO15)))))</f>
        <v>#DIV/0!</v>
      </c>
      <c r="AO15" s="39" t="b">
        <f t="shared" si="1"/>
        <v>0</v>
      </c>
    </row>
    <row r="16" spans="2:41" s="37" customFormat="1" ht="21.9" customHeight="1" x14ac:dyDescent="0.2">
      <c r="B16" s="185"/>
      <c r="C16" s="186"/>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 t="shared" si="8"/>
        <v>#DIV/0!</v>
      </c>
      <c r="AL16" s="37" t="e">
        <f t="shared" si="9"/>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 t="shared" si="8"/>
        <v>#DIV/0!</v>
      </c>
      <c r="AL17" s="37" t="e">
        <f t="shared" si="9"/>
        <v>#DIV/0!</v>
      </c>
      <c r="AN17" s="37" t="e">
        <f>IF(共通条件・結果!$AA$7="８地域",H17,IF(AO17="FALSE",H17,IF(L17="風除室",1/((1/H17)+0.1),0.5*H17+0.5*(1/((1/H17)+AO17)))))</f>
        <v>#DIV/0!</v>
      </c>
      <c r="AO17" s="39" t="b">
        <f t="shared" si="1"/>
        <v>0</v>
      </c>
    </row>
    <row r="18" spans="2:41" s="37" customFormat="1" ht="21.9" customHeight="1" x14ac:dyDescent="0.2">
      <c r="B18" s="185"/>
      <c r="C18" s="186"/>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 t="shared" si="8"/>
        <v>#DIV/0!</v>
      </c>
      <c r="AL18" s="37" t="e">
        <f t="shared" si="9"/>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 t="shared" si="8"/>
        <v>#DIV/0!</v>
      </c>
      <c r="AL19" s="37" t="e">
        <f t="shared" si="9"/>
        <v>#DIV/0!</v>
      </c>
      <c r="AN19" s="37" t="e">
        <f>IF(共通条件・結果!$AA$7="８地域",H19,IF(AO19="FALSE",H19,IF(L19="風除室",1/((1/H19)+0.1),0.5*H19+0.5*(1/((1/H19)+AO19)))))</f>
        <v>#DIV/0!</v>
      </c>
      <c r="AO19" s="39" t="b">
        <f t="shared" si="1"/>
        <v>0</v>
      </c>
    </row>
    <row r="20" spans="2:41" s="37" customFormat="1" ht="21.9" customHeight="1" thickBot="1" x14ac:dyDescent="0.25">
      <c r="B20" s="285" t="s">
        <v>120</v>
      </c>
      <c r="C20" s="286"/>
      <c r="D20" s="286"/>
      <c r="E20" s="286"/>
      <c r="F20" s="286"/>
      <c r="G20" s="286"/>
      <c r="H20" s="286"/>
      <c r="I20" s="286"/>
      <c r="J20" s="286"/>
      <c r="K20" s="286"/>
      <c r="L20" s="286"/>
      <c r="M20" s="286"/>
      <c r="N20" s="286"/>
      <c r="O20" s="286"/>
      <c r="P20" s="286"/>
      <c r="Q20" s="286"/>
      <c r="R20" s="286"/>
      <c r="S20" s="286"/>
      <c r="T20" s="286"/>
      <c r="U20" s="286"/>
      <c r="V20" s="287">
        <f>SUM(V8:W19)</f>
        <v>0</v>
      </c>
      <c r="W20" s="287"/>
      <c r="X20" s="287">
        <f>SUM(X8:Y19)</f>
        <v>0</v>
      </c>
      <c r="Y20" s="287"/>
      <c r="Z20" s="287">
        <f>SUM(Z8:AA19)</f>
        <v>0</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144</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t="s">
        <v>255</v>
      </c>
      <c r="K33" s="184"/>
      <c r="L33" s="316">
        <f>6.3*(2.4+0.438+2.4+0.043+0.105+0.02)</f>
        <v>34.0578</v>
      </c>
      <c r="M33" s="317"/>
      <c r="N33" s="316">
        <v>0</v>
      </c>
      <c r="O33" s="317"/>
      <c r="P33" s="318">
        <f>IF(L33="","",L33-N33)</f>
        <v>34.0578</v>
      </c>
      <c r="Q33" s="319"/>
      <c r="R33" s="267">
        <v>0.20618729888324211</v>
      </c>
      <c r="S33" s="267"/>
      <c r="T33" s="320"/>
      <c r="U33" s="320"/>
      <c r="V33" s="175">
        <f>IF(P33="","",IF(AD33=TRUE,0,P33*R33*0.034*$V$4))</f>
        <v>0.12009513154476299</v>
      </c>
      <c r="W33" s="175"/>
      <c r="X33" s="180">
        <f>IF(P33="","",IF(ISERROR(P33*R33*0.034*$X$4),"-",IF(AD33=TRUE,0,P33*R33*0.034*$X$4)))</f>
        <v>0.13227177510099147</v>
      </c>
      <c r="Y33" s="181"/>
      <c r="Z33" s="321">
        <f>IF(R33="","",IF(AD33=TRUE,0.7*R33*P33,R33*P33))</f>
        <v>7.022285787905683</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t="s">
        <v>261</v>
      </c>
      <c r="K34" s="205"/>
      <c r="L34" s="207">
        <f>0.5*6.3</f>
        <v>3.15</v>
      </c>
      <c r="M34" s="210"/>
      <c r="N34" s="207">
        <v>0</v>
      </c>
      <c r="O34" s="210"/>
      <c r="P34" s="313">
        <f t="shared" ref="P34:P35" si="20">IF(L34="","",L34-N34)</f>
        <v>3.15</v>
      </c>
      <c r="Q34" s="314"/>
      <c r="R34" s="207">
        <v>0.26183640835258143</v>
      </c>
      <c r="S34" s="210"/>
      <c r="T34" s="352"/>
      <c r="U34" s="353"/>
      <c r="V34" s="180">
        <f t="shared" ref="V34:V35" si="21">IF(P34="","",IF(AD34=TRUE,0,P34*R34*0.034*$V$4))</f>
        <v>1.4105467705284421E-2</v>
      </c>
      <c r="W34" s="181"/>
      <c r="X34" s="180">
        <f t="shared" ref="X34:X35" si="22">IF(P34="","",IF(ISERROR(P34*R34*0.034*$X$4),"-",IF(AD34=TRUE,0,P34*R34*0.034*$X$4)))</f>
        <v>1.5535644351347057E-2</v>
      </c>
      <c r="Y34" s="181"/>
      <c r="Z34" s="180">
        <f t="shared" ref="Z34:Z35" si="23">IF(R34="","",IF(AD34=TRUE,0.7*R34*P34,R34*P34))</f>
        <v>0.82478468631063151</v>
      </c>
      <c r="AA34" s="182"/>
      <c r="AD34" s="40" t="b">
        <v>0</v>
      </c>
      <c r="AE34" s="40">
        <f t="shared" ref="AE34:AE35" si="24">IF(AD34=TRUE,0.7,1)</f>
        <v>1</v>
      </c>
      <c r="AF34" s="40" t="str">
        <f t="shared" ref="AF34:AF35" si="25">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20"/>
        <v/>
      </c>
      <c r="Q35" s="314"/>
      <c r="R35" s="207"/>
      <c r="S35" s="210"/>
      <c r="T35" s="352"/>
      <c r="U35" s="353"/>
      <c r="V35" s="180" t="str">
        <f t="shared" si="21"/>
        <v/>
      </c>
      <c r="W35" s="181"/>
      <c r="X35" s="180" t="str">
        <f t="shared" si="22"/>
        <v/>
      </c>
      <c r="Y35" s="181"/>
      <c r="Z35" s="180" t="str">
        <f t="shared" si="23"/>
        <v/>
      </c>
      <c r="AA35" s="182"/>
      <c r="AD35" s="40" t="b">
        <v>0</v>
      </c>
      <c r="AE35" s="40">
        <f t="shared" si="24"/>
        <v>1</v>
      </c>
      <c r="AF35" s="40" t="str">
        <f t="shared" si="25"/>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121</v>
      </c>
      <c r="K38" s="286"/>
      <c r="L38" s="286"/>
      <c r="M38" s="286"/>
      <c r="N38" s="286"/>
      <c r="O38" s="286"/>
      <c r="P38" s="286"/>
      <c r="Q38" s="286"/>
      <c r="R38" s="286"/>
      <c r="S38" s="286"/>
      <c r="T38" s="286"/>
      <c r="U38" s="312"/>
      <c r="V38" s="287">
        <f>SUM(V33:W37)</f>
        <v>0.1342005992500474</v>
      </c>
      <c r="W38" s="287"/>
      <c r="X38" s="287">
        <f>SUM(X33:Y37)</f>
        <v>0.14780741945233852</v>
      </c>
      <c r="Y38" s="287"/>
      <c r="Z38" s="287">
        <f>SUM(Z33:AA37)</f>
        <v>7.8470704742163147</v>
      </c>
      <c r="AA38" s="288"/>
    </row>
    <row r="39" spans="2:32" s="37" customFormat="1" ht="9.9" customHeight="1" x14ac:dyDescent="0.2"/>
    <row r="40" spans="2:32" s="37" customFormat="1" ht="21.9" customHeight="1" thickBot="1" x14ac:dyDescent="0.25">
      <c r="B40" s="38" t="s">
        <v>122</v>
      </c>
    </row>
    <row r="41" spans="2:32" s="37" customFormat="1" ht="21.9" customHeight="1" x14ac:dyDescent="0.2">
      <c r="B41" s="291" t="s">
        <v>103</v>
      </c>
      <c r="C41" s="292"/>
      <c r="D41" s="305" t="s">
        <v>56</v>
      </c>
      <c r="E41" s="306"/>
      <c r="F41" s="306"/>
      <c r="G41" s="306"/>
      <c r="H41" s="306"/>
      <c r="I41" s="306"/>
      <c r="J41" s="307"/>
      <c r="K41" s="42"/>
      <c r="L41" s="301">
        <f>Q41+U41+Y41</f>
        <v>37.207799999999999</v>
      </c>
      <c r="M41" s="301"/>
      <c r="N41" s="301"/>
      <c r="O41" s="42" t="s">
        <v>24</v>
      </c>
      <c r="P41" s="43" t="s">
        <v>23</v>
      </c>
      <c r="Q41" s="302">
        <f>D8*F8+D9*F9+D10*F10+D11*F11+D12*F12+D13*F13+D14*F14+D15*F15+D16*F16+D17*F17+D18*F18+D19*F19</f>
        <v>0</v>
      </c>
      <c r="R41" s="302"/>
      <c r="S41" s="44" t="s">
        <v>25</v>
      </c>
      <c r="T41" s="44" t="s">
        <v>22</v>
      </c>
      <c r="U41" s="303">
        <f>N25*P25+N26*P26+N27*P27</f>
        <v>0</v>
      </c>
      <c r="V41" s="303"/>
      <c r="W41" s="44" t="s">
        <v>25</v>
      </c>
      <c r="X41" s="44" t="s">
        <v>1</v>
      </c>
      <c r="Y41" s="304">
        <f>SUM(P33:Q37)</f>
        <v>37.207799999999999</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0.1342005992500474</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0.14780741945233852</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7.8470704742163147</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fuArhLarp9K6Ii+hsZnQ/WVtuqBFJnuBA+/S8vpDOs/Q1YvEkVWx2S1Omty6/+oARD5GQuiMgbWrZLEBxyJjDg==" saltValue="C79Y0yDHYj60KlBb/DzqdA==" spinCount="100000" sheet="1" objects="1" scenarios="1" selectLockedCells="1"/>
  <mergeCells count="293">
    <mergeCell ref="L34:M34"/>
    <mergeCell ref="L35:M35"/>
    <mergeCell ref="N34:O34"/>
    <mergeCell ref="N35:O35"/>
    <mergeCell ref="P34:Q34"/>
    <mergeCell ref="P35:Q35"/>
    <mergeCell ref="R34:S34"/>
    <mergeCell ref="R35:S35"/>
    <mergeCell ref="V34:W34"/>
    <mergeCell ref="V35:W35"/>
    <mergeCell ref="T34:U34"/>
    <mergeCell ref="T35:U35"/>
    <mergeCell ref="V12:W12"/>
    <mergeCell ref="V13:W13"/>
    <mergeCell ref="X12:Y12"/>
    <mergeCell ref="X13:Y13"/>
    <mergeCell ref="Z12:AA12"/>
    <mergeCell ref="Z13:AA13"/>
    <mergeCell ref="N26:O26"/>
    <mergeCell ref="P26:Q26"/>
    <mergeCell ref="J26:M26"/>
    <mergeCell ref="R26:S26"/>
    <mergeCell ref="T26:U26"/>
    <mergeCell ref="V26:W26"/>
    <mergeCell ref="X26:Y26"/>
    <mergeCell ref="Z26:AA26"/>
    <mergeCell ref="N12:O12"/>
    <mergeCell ref="N13:O13"/>
    <mergeCell ref="L12:M12"/>
    <mergeCell ref="L13:M13"/>
    <mergeCell ref="P12:Q12"/>
    <mergeCell ref="P13:Q13"/>
    <mergeCell ref="R12:S12"/>
    <mergeCell ref="R13:S13"/>
    <mergeCell ref="T12:U12"/>
    <mergeCell ref="T13:U13"/>
    <mergeCell ref="B12:C12"/>
    <mergeCell ref="B13:C13"/>
    <mergeCell ref="D12:E12"/>
    <mergeCell ref="D13:E13"/>
    <mergeCell ref="F12:G12"/>
    <mergeCell ref="F13:G13"/>
    <mergeCell ref="H12:I12"/>
    <mergeCell ref="H13:I13"/>
    <mergeCell ref="J12:K12"/>
    <mergeCell ref="J13:K13"/>
    <mergeCell ref="J34:K34"/>
    <mergeCell ref="J35:K35"/>
    <mergeCell ref="J27:M27"/>
    <mergeCell ref="J31:K32"/>
    <mergeCell ref="J28:U28"/>
    <mergeCell ref="J38:U38"/>
    <mergeCell ref="D6:E7"/>
    <mergeCell ref="F6:G7"/>
    <mergeCell ref="N6:O7"/>
    <mergeCell ref="P6:U6"/>
    <mergeCell ref="N8:O8"/>
    <mergeCell ref="P8:Q8"/>
    <mergeCell ref="T10:U10"/>
    <mergeCell ref="T14:U14"/>
    <mergeCell ref="T16:U16"/>
    <mergeCell ref="N25:O25"/>
    <mergeCell ref="P25:Q25"/>
    <mergeCell ref="R25:S25"/>
    <mergeCell ref="T25:U25"/>
    <mergeCell ref="J23:M24"/>
    <mergeCell ref="J25:M25"/>
    <mergeCell ref="L36:M36"/>
    <mergeCell ref="N36:O36"/>
    <mergeCell ref="P36:Q36"/>
    <mergeCell ref="J36:K36"/>
    <mergeCell ref="J33:K33"/>
    <mergeCell ref="B2:AA2"/>
    <mergeCell ref="R4:U4"/>
    <mergeCell ref="V4:W4"/>
    <mergeCell ref="X4:Y4"/>
    <mergeCell ref="B5:C7"/>
    <mergeCell ref="D5:G5"/>
    <mergeCell ref="H5:I7"/>
    <mergeCell ref="J5:K7"/>
    <mergeCell ref="L5:M7"/>
    <mergeCell ref="N5:U5"/>
    <mergeCell ref="J8:K8"/>
    <mergeCell ref="L8:M8"/>
    <mergeCell ref="R8:S8"/>
    <mergeCell ref="T8:U8"/>
    <mergeCell ref="V8:W8"/>
    <mergeCell ref="J10:K10"/>
    <mergeCell ref="L10:M10"/>
    <mergeCell ref="N10:O10"/>
    <mergeCell ref="P10:Q10"/>
    <mergeCell ref="R10:S10"/>
    <mergeCell ref="X8:Y8"/>
    <mergeCell ref="Z8:AA8"/>
    <mergeCell ref="AD6:AE6"/>
    <mergeCell ref="AH6:AI6"/>
    <mergeCell ref="AK6:AL6"/>
    <mergeCell ref="AN6:AO6"/>
    <mergeCell ref="P7:Q7"/>
    <mergeCell ref="R7:S7"/>
    <mergeCell ref="T7:U7"/>
    <mergeCell ref="V5:W7"/>
    <mergeCell ref="X5:Y7"/>
    <mergeCell ref="Z5:AA7"/>
    <mergeCell ref="B9:C9"/>
    <mergeCell ref="D9:E9"/>
    <mergeCell ref="F9:G9"/>
    <mergeCell ref="H9:I9"/>
    <mergeCell ref="J9:K9"/>
    <mergeCell ref="L9:M9"/>
    <mergeCell ref="N9:O9"/>
    <mergeCell ref="P9:Q9"/>
    <mergeCell ref="R9:S9"/>
    <mergeCell ref="T9:U9"/>
    <mergeCell ref="V9:W9"/>
    <mergeCell ref="X9:Y9"/>
    <mergeCell ref="Z9:AA9"/>
    <mergeCell ref="B8:C8"/>
    <mergeCell ref="D8:E8"/>
    <mergeCell ref="F8:G8"/>
    <mergeCell ref="H8:I8"/>
    <mergeCell ref="L14:M14"/>
    <mergeCell ref="N14:O14"/>
    <mergeCell ref="P14:Q14"/>
    <mergeCell ref="R14:S14"/>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N16:O16"/>
    <mergeCell ref="P16:Q16"/>
    <mergeCell ref="R16:S16"/>
    <mergeCell ref="V14:W14"/>
    <mergeCell ref="X14:Y14"/>
    <mergeCell ref="Z14:AA14"/>
    <mergeCell ref="B15:C15"/>
    <mergeCell ref="D15:E15"/>
    <mergeCell ref="F15:G15"/>
    <mergeCell ref="H15:I15"/>
    <mergeCell ref="J15:K15"/>
    <mergeCell ref="L15:M15"/>
    <mergeCell ref="N15:O15"/>
    <mergeCell ref="P15:Q15"/>
    <mergeCell ref="R15:S15"/>
    <mergeCell ref="T15:U15"/>
    <mergeCell ref="V15:W15"/>
    <mergeCell ref="X15:Y15"/>
    <mergeCell ref="Z15:AA15"/>
    <mergeCell ref="B14:C14"/>
    <mergeCell ref="D14:E14"/>
    <mergeCell ref="F14:G14"/>
    <mergeCell ref="H14:I14"/>
    <mergeCell ref="J14:K14"/>
    <mergeCell ref="Z18:AA18"/>
    <mergeCell ref="X18:Y18"/>
    <mergeCell ref="V16:W16"/>
    <mergeCell ref="X16:Y16"/>
    <mergeCell ref="Z16:AA16"/>
    <mergeCell ref="B17:C17"/>
    <mergeCell ref="D17:E17"/>
    <mergeCell ref="F17:G17"/>
    <mergeCell ref="H17:I17"/>
    <mergeCell ref="J17:K17"/>
    <mergeCell ref="L17:M17"/>
    <mergeCell ref="N17:O17"/>
    <mergeCell ref="P17:Q17"/>
    <mergeCell ref="R17:S17"/>
    <mergeCell ref="T17:U17"/>
    <mergeCell ref="V17:W17"/>
    <mergeCell ref="X17:Y17"/>
    <mergeCell ref="Z17:AA17"/>
    <mergeCell ref="B16:C16"/>
    <mergeCell ref="D16:E16"/>
    <mergeCell ref="F16:G16"/>
    <mergeCell ref="H16:I16"/>
    <mergeCell ref="J16:K16"/>
    <mergeCell ref="L16:M16"/>
    <mergeCell ref="R18:S18"/>
    <mergeCell ref="T18:U18"/>
    <mergeCell ref="V18:W18"/>
    <mergeCell ref="B18:C18"/>
    <mergeCell ref="D18:E18"/>
    <mergeCell ref="F18:G18"/>
    <mergeCell ref="H18:I18"/>
    <mergeCell ref="J18:K18"/>
    <mergeCell ref="L18:M18"/>
    <mergeCell ref="N18:O18"/>
    <mergeCell ref="P18:Q18"/>
    <mergeCell ref="X19:Y19"/>
    <mergeCell ref="Z19:AA19"/>
    <mergeCell ref="B20:U20"/>
    <mergeCell ref="V20:W20"/>
    <mergeCell ref="X20:Y20"/>
    <mergeCell ref="Z20:AA20"/>
    <mergeCell ref="L19:M19"/>
    <mergeCell ref="N19:O19"/>
    <mergeCell ref="P19:Q19"/>
    <mergeCell ref="R19:S19"/>
    <mergeCell ref="B19:C19"/>
    <mergeCell ref="D19:E19"/>
    <mergeCell ref="F19:G19"/>
    <mergeCell ref="H19:I19"/>
    <mergeCell ref="J19:K19"/>
    <mergeCell ref="T19:U19"/>
    <mergeCell ref="V19:W19"/>
    <mergeCell ref="AN21:AO21"/>
    <mergeCell ref="N23:Q23"/>
    <mergeCell ref="R23:S24"/>
    <mergeCell ref="T23:U24"/>
    <mergeCell ref="V23:W24"/>
    <mergeCell ref="X23:Y24"/>
    <mergeCell ref="Z23:AA24"/>
    <mergeCell ref="AN23:AO23"/>
    <mergeCell ref="N24:O24"/>
    <mergeCell ref="P24:Q24"/>
    <mergeCell ref="V25:W25"/>
    <mergeCell ref="X25:Y25"/>
    <mergeCell ref="Z25:AA25"/>
    <mergeCell ref="N27:O27"/>
    <mergeCell ref="P27:Q27"/>
    <mergeCell ref="R27:S27"/>
    <mergeCell ref="T27:U27"/>
    <mergeCell ref="V27:W27"/>
    <mergeCell ref="X27:Y27"/>
    <mergeCell ref="Z27:AA27"/>
    <mergeCell ref="V28:W28"/>
    <mergeCell ref="X28:Y28"/>
    <mergeCell ref="Z28:AA28"/>
    <mergeCell ref="L31:M32"/>
    <mergeCell ref="N31:O32"/>
    <mergeCell ref="P31:Q32"/>
    <mergeCell ref="R31:S32"/>
    <mergeCell ref="T31:U32"/>
    <mergeCell ref="L33:M33"/>
    <mergeCell ref="N33:O33"/>
    <mergeCell ref="P33:Q33"/>
    <mergeCell ref="R33:S33"/>
    <mergeCell ref="T33:U33"/>
    <mergeCell ref="V33:W33"/>
    <mergeCell ref="X36:Y36"/>
    <mergeCell ref="Z36:AA36"/>
    <mergeCell ref="V31:W32"/>
    <mergeCell ref="X31:Y32"/>
    <mergeCell ref="Z31:AA32"/>
    <mergeCell ref="X33:Y33"/>
    <mergeCell ref="R37:S37"/>
    <mergeCell ref="T37:U37"/>
    <mergeCell ref="V37:W37"/>
    <mergeCell ref="Z33:AA33"/>
    <mergeCell ref="R36:S36"/>
    <mergeCell ref="T36:U36"/>
    <mergeCell ref="V36:W36"/>
    <mergeCell ref="X37:Y37"/>
    <mergeCell ref="Z37:AA37"/>
    <mergeCell ref="X34:Y34"/>
    <mergeCell ref="X35:Y35"/>
    <mergeCell ref="Z34:AA34"/>
    <mergeCell ref="Z35:AA35"/>
    <mergeCell ref="V38:W38"/>
    <mergeCell ref="X38:Y38"/>
    <mergeCell ref="Z38:AA38"/>
    <mergeCell ref="L37:M37"/>
    <mergeCell ref="N37:O37"/>
    <mergeCell ref="P37:Q37"/>
    <mergeCell ref="J37:K37"/>
    <mergeCell ref="D44:J44"/>
    <mergeCell ref="W44:Y44"/>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199" priority="51" stopIfTrue="1">
      <formula>$V$20=0</formula>
    </cfRule>
  </conditionalFormatting>
  <conditionalFormatting sqref="X20:Y20">
    <cfRule type="expression" dxfId="198" priority="50" stopIfTrue="1">
      <formula>$X$20=0</formula>
    </cfRule>
  </conditionalFormatting>
  <conditionalFormatting sqref="Z20:AA20">
    <cfRule type="expression" dxfId="197" priority="49" stopIfTrue="1">
      <formula>$Z$20=0</formula>
    </cfRule>
  </conditionalFormatting>
  <conditionalFormatting sqref="V28:W28">
    <cfRule type="expression" dxfId="196" priority="48" stopIfTrue="1">
      <formula>$V$28:$W$28=0</formula>
    </cfRule>
  </conditionalFormatting>
  <conditionalFormatting sqref="V38:W38">
    <cfRule type="expression" dxfId="195" priority="47" stopIfTrue="1">
      <formula>$V$38:$W$38=0</formula>
    </cfRule>
  </conditionalFormatting>
  <conditionalFormatting sqref="Y41:Z41">
    <cfRule type="expression" dxfId="194" priority="46" stopIfTrue="1">
      <formula>$Y$41=0</formula>
    </cfRule>
  </conditionalFormatting>
  <conditionalFormatting sqref="Q41:R41">
    <cfRule type="expression" dxfId="193" priority="45" stopIfTrue="1">
      <formula>$Q$41=0</formula>
    </cfRule>
  </conditionalFormatting>
  <conditionalFormatting sqref="U41:V41">
    <cfRule type="expression" dxfId="192" priority="44" stopIfTrue="1">
      <formula>$U$41=0</formula>
    </cfRule>
  </conditionalFormatting>
  <conditionalFormatting sqref="L41:N41">
    <cfRule type="expression" dxfId="191" priority="43" stopIfTrue="1">
      <formula>$L$41=0</formula>
    </cfRule>
  </conditionalFormatting>
  <conditionalFormatting sqref="X8:Y8">
    <cfRule type="expression" dxfId="190" priority="41" stopIfTrue="1">
      <formula>#VALUE!</formula>
    </cfRule>
    <cfRule type="expression" dxfId="189" priority="42" stopIfTrue="1">
      <formula>#VALUE!</formula>
    </cfRule>
  </conditionalFormatting>
  <conditionalFormatting sqref="X19:Y19">
    <cfRule type="expression" dxfId="188" priority="40" stopIfTrue="1">
      <formula>#VALUE!</formula>
    </cfRule>
  </conditionalFormatting>
  <conditionalFormatting sqref="X8:Y8">
    <cfRule type="expression" dxfId="187" priority="28" stopIfTrue="1">
      <formula>#VALUE!</formula>
    </cfRule>
    <cfRule type="expression" dxfId="186" priority="29" stopIfTrue="1">
      <formula>#VALUE!</formula>
    </cfRule>
  </conditionalFormatting>
  <conditionalFormatting sqref="X19:Y19">
    <cfRule type="expression" dxfId="185" priority="27" stopIfTrue="1">
      <formula>#VALUE!</formula>
    </cfRule>
  </conditionalFormatting>
  <conditionalFormatting sqref="X28:Y28">
    <cfRule type="expression" dxfId="184" priority="26" stopIfTrue="1">
      <formula>$X$28:$Y$28=0</formula>
    </cfRule>
  </conditionalFormatting>
  <conditionalFormatting sqref="Z28:AA28">
    <cfRule type="expression" dxfId="183" priority="25" stopIfTrue="1">
      <formula>$Z$28:$AA$28=0</formula>
    </cfRule>
  </conditionalFormatting>
  <conditionalFormatting sqref="X38:Y38">
    <cfRule type="expression" dxfId="182" priority="24" stopIfTrue="1">
      <formula>$V$38:$W$38=0</formula>
    </cfRule>
  </conditionalFormatting>
  <conditionalFormatting sqref="Z38:AA38">
    <cfRule type="expression" dxfId="181" priority="23" stopIfTrue="1">
      <formula>$Z$38:$AA$38=0</formula>
    </cfRule>
  </conditionalFormatting>
  <conditionalFormatting sqref="P8:U8">
    <cfRule type="expression" dxfId="180" priority="12" stopIfTrue="1">
      <formula>$AG$8=TRUE</formula>
    </cfRule>
  </conditionalFormatting>
  <conditionalFormatting sqref="P15:U15">
    <cfRule type="expression" dxfId="179" priority="11" stopIfTrue="1">
      <formula>$AG$15=TRUE</formula>
    </cfRule>
  </conditionalFormatting>
  <conditionalFormatting sqref="P16:U16">
    <cfRule type="expression" dxfId="178" priority="10" stopIfTrue="1">
      <formula>$AG$16=TRUE</formula>
    </cfRule>
  </conditionalFormatting>
  <conditionalFormatting sqref="P17:U17">
    <cfRule type="expression" dxfId="177" priority="9" stopIfTrue="1">
      <formula>$AG$17=TRUE</formula>
    </cfRule>
  </conditionalFormatting>
  <conditionalFormatting sqref="P18:U18">
    <cfRule type="expression" dxfId="176" priority="8" stopIfTrue="1">
      <formula>$AG$18=TRUE</formula>
    </cfRule>
  </conditionalFormatting>
  <conditionalFormatting sqref="P19:U19">
    <cfRule type="expression" dxfId="175" priority="7" stopIfTrue="1">
      <formula>$AG$19=TRUE</formula>
    </cfRule>
  </conditionalFormatting>
  <conditionalFormatting sqref="P10:U10">
    <cfRule type="expression" dxfId="174" priority="6" stopIfTrue="1">
      <formula>$AG$10=TRUE</formula>
    </cfRule>
  </conditionalFormatting>
  <conditionalFormatting sqref="P11:U11">
    <cfRule type="expression" dxfId="173" priority="5" stopIfTrue="1">
      <formula>$AG$11=TRUE</formula>
    </cfRule>
  </conditionalFormatting>
  <conditionalFormatting sqref="P14:U14">
    <cfRule type="expression" dxfId="172" priority="4" stopIfTrue="1">
      <formula>$AG$14=TRUE</formula>
    </cfRule>
  </conditionalFormatting>
  <conditionalFormatting sqref="P9:U9">
    <cfRule type="expression" dxfId="171" priority="3" stopIfTrue="1">
      <formula>$AG$9=TRUE</formula>
    </cfRule>
  </conditionalFormatting>
  <conditionalFormatting sqref="P12:U12">
    <cfRule type="expression" dxfId="170" priority="2">
      <formula>$AG$12=TRUE</formula>
    </cfRule>
  </conditionalFormatting>
  <conditionalFormatting sqref="P13:U13">
    <cfRule type="expression" dxfId="169" priority="1">
      <formula>$AG$13=TRUE</formula>
    </cfRule>
  </conditionalFormatting>
  <dataValidations count="1">
    <dataValidation type="list" allowBlank="1" showInputMessage="1" showErrorMessage="1" sqref="M14:M19 L8:L19 M8:M11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 [H28]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99350" r:id="rId14" name="Check Box 22">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99351" r:id="rId15" name="Check Box 23">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99352" r:id="rId16" name="Check Box 24">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99362" r:id="rId17" name="Check Box 34">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99363" r:id="rId18" name="Check Box 35">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99365" r:id="rId19" name="Check Box 37">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99366" r:id="rId20" name="Check Box 38">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AO106"/>
  <sheetViews>
    <sheetView showGridLines="0" view="pageBreakPreview" topLeftCell="A28" zoomScaleNormal="100" zoomScaleSheetLayoutView="100" workbookViewId="0">
      <selection activeCell="B8" sqref="B8:C8"/>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111</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357">
        <f>IF(共通条件・結果!AA7="８地域","0.528",IF(共通条件・結果!AA7="７地域",0.49,IF(共通条件・結果!AA7="６地域",0.498,IF(共通条件・結果!AA7="５地域",0.5,IF(共通条件・結果!AA7="４地域",0.508,IF(共通条件・結果!AA7="３地域",0.487,IF(共通条件・結果!AA7="２地域",0.527,IF(共通条件・結果!AA7="１地域",0.56))))))))</f>
        <v>0.52700000000000002</v>
      </c>
      <c r="W4" s="358"/>
      <c r="X4" s="359">
        <f>IF(共通条件・結果!AA7="８地域","-",IF(共通条件・結果!AA7="７地域",0.843,IF(共通条件・結果!AA7="６地域",0.833,IF(共通条件・結果!AA7="５地域",0.846,IF(共通条件・結果!AA7="４地域",0.724,IF(共通条件・結果!AA7="３地域",0.751,IF(共通条件・結果!AA7="２地域",0.766,IF(共通条件・結果!AA7="１地域",0.823))))))))</f>
        <v>0.76600000000000001</v>
      </c>
      <c r="Y4" s="360"/>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c r="C8" s="263"/>
      <c r="D8" s="264"/>
      <c r="E8" s="265"/>
      <c r="F8" s="265"/>
      <c r="G8" s="266"/>
      <c r="H8" s="267"/>
      <c r="I8" s="267"/>
      <c r="J8" s="267"/>
      <c r="K8" s="267"/>
      <c r="L8" s="268"/>
      <c r="M8" s="268"/>
      <c r="N8" s="251"/>
      <c r="O8" s="252"/>
      <c r="P8" s="257"/>
      <c r="Q8" s="258"/>
      <c r="R8" s="259"/>
      <c r="S8" s="260"/>
      <c r="T8" s="261"/>
      <c r="U8" s="257"/>
      <c r="V8" s="256" t="str">
        <f>IF(D8="","",AD8)</f>
        <v/>
      </c>
      <c r="W8" s="256"/>
      <c r="X8" s="256" t="str">
        <f t="shared" ref="X8:X19" si="0">IF(D8="","",IF(ISERROR(AE8),"-",AE8))</f>
        <v/>
      </c>
      <c r="Y8" s="256"/>
      <c r="Z8" s="256" t="str">
        <f>IF(D8="","",D8*F8*AN8)</f>
        <v/>
      </c>
      <c r="AA8" s="262"/>
      <c r="AD8" s="37" t="e">
        <f>D8*F8*J8*$V$4*AH8</f>
        <v>#VALUE!</v>
      </c>
      <c r="AE8" s="37" t="e">
        <f>D8*F8*J8*$X$4*AI8</f>
        <v>#VALUE!</v>
      </c>
      <c r="AG8" s="40" t="b">
        <v>0</v>
      </c>
      <c r="AH8" s="37" t="str">
        <f>IF(AG8=TRUE,"0.93",IF(ISERROR(AK8),"エラー",IF(AK8&gt;0.93,"0.93",AK8)))</f>
        <v>エラー</v>
      </c>
      <c r="AI8" s="37" t="str">
        <f>IF(AG8=TRUE,"0.51",IF(ISERROR(AL8),"エラー",IF(AL8&gt;0.72,"0.72",AL8)))</f>
        <v>エラー</v>
      </c>
      <c r="AK8" s="37" t="e">
        <f>IF(共通条件・結果!$AA$7="８（Ⅵ）",0.01*(16+19*(2*R8+T8)/P8),0.01*(16+24*(2*R8+T8)/P8))</f>
        <v>#DIV/0!</v>
      </c>
      <c r="AL8" s="37" t="e">
        <f>0.01*(5+20*(3*R8+T8)/P8)</f>
        <v>#DIV/0!</v>
      </c>
      <c r="AN8" s="37">
        <f>IF(共通条件・結果!$AA$7="８地域",H8,IF(AO8="FALSE",H8,IF(L8="風除室",1/((1/H8)+0.1),0.5*H8+0.5*(1/((1/H8)+AO8)))))</f>
        <v>0</v>
      </c>
      <c r="AO8" s="39" t="str">
        <f t="shared" ref="AO8:AO19" si="1">IF(L8="","FALSE",IF(L8="雨戸",0.1,IF(L8="ｼｬｯﾀｰ",0.1,IF(L8="障子",0.18,IF(L8="風除室",0.1)))))</f>
        <v>FALSE</v>
      </c>
    </row>
    <row r="9" spans="2:41" s="37" customFormat="1" ht="21.9" customHeight="1" x14ac:dyDescent="0.2">
      <c r="B9" s="185"/>
      <c r="C9" s="186"/>
      <c r="D9" s="187"/>
      <c r="E9" s="188"/>
      <c r="F9" s="188"/>
      <c r="G9" s="189"/>
      <c r="H9" s="190"/>
      <c r="I9" s="190"/>
      <c r="J9" s="190"/>
      <c r="K9" s="190"/>
      <c r="L9" s="203" t="s">
        <v>65</v>
      </c>
      <c r="M9" s="203"/>
      <c r="N9" s="213"/>
      <c r="O9" s="215"/>
      <c r="P9" s="269"/>
      <c r="Q9" s="206"/>
      <c r="R9" s="270"/>
      <c r="S9" s="271"/>
      <c r="T9" s="179"/>
      <c r="U9" s="269"/>
      <c r="V9" s="175" t="str">
        <f t="shared" ref="V9:V19" si="2">IF(D9="","",AD9)</f>
        <v/>
      </c>
      <c r="W9" s="175"/>
      <c r="X9" s="175" t="str">
        <f t="shared" si="0"/>
        <v/>
      </c>
      <c r="Y9" s="175"/>
      <c r="Z9" s="175" t="str">
        <f t="shared" ref="Z9:Z19" si="3">IF(D9="","",D9*F9*AN9)</f>
        <v/>
      </c>
      <c r="AA9" s="176"/>
      <c r="AD9" s="37" t="e">
        <f t="shared" ref="AD9:AD19" si="4">D9*F9*J9*$V$4*AH9</f>
        <v>#VALUE!</v>
      </c>
      <c r="AE9" s="37" t="e">
        <f t="shared" ref="AE9:AE19" si="5">D9*F9*J9*$X$4*AI9</f>
        <v>#VALUE!</v>
      </c>
      <c r="AG9" s="40" t="b">
        <v>0</v>
      </c>
      <c r="AH9" s="37" t="str">
        <f t="shared" ref="AH9:AH19" si="6">IF(AG9=TRUE,"0.93",IF(ISERROR(AK9),"エラー",IF(AK9&gt;0.93,"0.93",AK9)))</f>
        <v>エラー</v>
      </c>
      <c r="AI9" s="37" t="str">
        <f t="shared" ref="AI9:AI19" si="7">IF(AG9=TRUE,"0.51",IF(ISERROR(AL9),"エラー",IF(AL9&gt;0.72,"0.72",AL9)))</f>
        <v>エラー</v>
      </c>
      <c r="AK9" s="37" t="e">
        <f>IF(共通条件・結果!$AA$7="８（Ⅵ）",0.01*(16+19*(2*R9+T9)/P9),0.01*(16+24*(2*R9+T9)/P9))</f>
        <v>#DIV/0!</v>
      </c>
      <c r="AL9" s="37" t="e">
        <f t="shared" ref="AL9:AL19" si="8">0.01*(5+20*(3*R9+T9)/P9)</f>
        <v>#DIV/0!</v>
      </c>
      <c r="AN9" s="37" t="e">
        <f>IF(共通条件・結果!$AA$7="８地域",H9,IF(AO9="FALSE",H9,IF(L9="風除室",1/((1/H9)+0.1),0.5*H9+0.5*(1/((1/H9)+AO9)))))</f>
        <v>#DIV/0!</v>
      </c>
      <c r="AO9" s="39" t="b">
        <f t="shared" si="1"/>
        <v>0</v>
      </c>
    </row>
    <row r="10" spans="2:41" s="37" customFormat="1" ht="21.9" customHeight="1" x14ac:dyDescent="0.2">
      <c r="B10" s="185"/>
      <c r="C10" s="186"/>
      <c r="D10" s="187"/>
      <c r="E10" s="188"/>
      <c r="F10" s="188"/>
      <c r="G10" s="189"/>
      <c r="H10" s="190"/>
      <c r="I10" s="190"/>
      <c r="J10" s="190"/>
      <c r="K10" s="190"/>
      <c r="L10" s="203" t="s">
        <v>65</v>
      </c>
      <c r="M10" s="203"/>
      <c r="N10" s="213"/>
      <c r="O10" s="215"/>
      <c r="P10" s="206"/>
      <c r="Q10" s="178"/>
      <c r="R10" s="177"/>
      <c r="S10" s="178"/>
      <c r="T10" s="177"/>
      <c r="U10" s="179"/>
      <c r="V10" s="175" t="str">
        <f t="shared" si="2"/>
        <v/>
      </c>
      <c r="W10" s="175"/>
      <c r="X10" s="175" t="str">
        <f t="shared" si="0"/>
        <v/>
      </c>
      <c r="Y10" s="175"/>
      <c r="Z10" s="175" t="str">
        <f t="shared" si="3"/>
        <v/>
      </c>
      <c r="AA10" s="176"/>
      <c r="AD10" s="37" t="e">
        <f t="shared" si="4"/>
        <v>#VALUE!</v>
      </c>
      <c r="AE10" s="37" t="e">
        <f t="shared" si="5"/>
        <v>#VALUE!</v>
      </c>
      <c r="AG10" s="40" t="b">
        <v>0</v>
      </c>
      <c r="AH10" s="37" t="str">
        <f t="shared" si="6"/>
        <v>エラー</v>
      </c>
      <c r="AI10" s="37" t="str">
        <f t="shared" si="7"/>
        <v>エラー</v>
      </c>
      <c r="AK10" s="37" t="e">
        <f>IF(共通条件・結果!$AA$7="８（Ⅵ）",0.01*(16+19*(2*R10+T10)/P10),0.01*(16+24*(2*R10+T10)/P10))</f>
        <v>#DIV/0!</v>
      </c>
      <c r="AL10" s="37" t="e">
        <f t="shared" si="8"/>
        <v>#DIV/0!</v>
      </c>
      <c r="AN10" s="37" t="e">
        <f>IF(共通条件・結果!$AA$7="８地域",H10,IF(AO10="FALSE",H10,IF(L10="風除室",1/((1/H10)+0.1),0.5*H10+0.5*(1/((1/H10)+AO10)))))</f>
        <v>#DIV/0!</v>
      </c>
      <c r="AO10" s="39" t="b">
        <f t="shared" si="1"/>
        <v>0</v>
      </c>
    </row>
    <row r="11" spans="2:41" s="37" customFormat="1" ht="21.9" customHeight="1" x14ac:dyDescent="0.2">
      <c r="B11" s="185"/>
      <c r="C11" s="186"/>
      <c r="D11" s="187"/>
      <c r="E11" s="188"/>
      <c r="F11" s="188"/>
      <c r="G11" s="189"/>
      <c r="H11" s="190"/>
      <c r="I11" s="190"/>
      <c r="J11" s="190"/>
      <c r="K11" s="190"/>
      <c r="L11" s="203" t="s">
        <v>65</v>
      </c>
      <c r="M11" s="203"/>
      <c r="N11" s="213"/>
      <c r="O11" s="215"/>
      <c r="P11" s="206"/>
      <c r="Q11" s="178"/>
      <c r="R11" s="177"/>
      <c r="S11" s="178"/>
      <c r="T11" s="177"/>
      <c r="U11" s="179"/>
      <c r="V11" s="175" t="str">
        <f t="shared" si="2"/>
        <v/>
      </c>
      <c r="W11" s="175"/>
      <c r="X11" s="175" t="str">
        <f t="shared" si="0"/>
        <v/>
      </c>
      <c r="Y11" s="175"/>
      <c r="Z11" s="175" t="str">
        <f t="shared" si="3"/>
        <v/>
      </c>
      <c r="AA11" s="176"/>
      <c r="AD11" s="37" t="e">
        <f t="shared" si="4"/>
        <v>#VALUE!</v>
      </c>
      <c r="AE11" s="37" t="e">
        <f t="shared" si="5"/>
        <v>#VALUE!</v>
      </c>
      <c r="AG11" s="40" t="b">
        <v>0</v>
      </c>
      <c r="AH11" s="37" t="str">
        <f t="shared" si="6"/>
        <v>エラー</v>
      </c>
      <c r="AI11" s="37" t="str">
        <f t="shared" si="7"/>
        <v>エラー</v>
      </c>
      <c r="AK11" s="37" t="e">
        <f>IF(共通条件・結果!$AA$7="８（Ⅵ）",0.01*(16+19*(2*R11+T11)/P11),0.01*(16+24*(2*R11+T11)/P11))</f>
        <v>#DIV/0!</v>
      </c>
      <c r="AL11" s="37" t="e">
        <f t="shared" si="8"/>
        <v>#DIV/0!</v>
      </c>
      <c r="AN11" s="37" t="e">
        <f>IF(共通条件・結果!$AA$7="８地域",H11,IF(AO11="FALSE",H11,IF(L11="風除室",1/((1/H11)+0.1),0.5*H11+0.5*(1/((1/H11)+AO11)))))</f>
        <v>#DIV/0!</v>
      </c>
      <c r="AO11" s="39" t="b">
        <f t="shared" si="1"/>
        <v>0</v>
      </c>
    </row>
    <row r="12" spans="2:41" s="37" customFormat="1" ht="21.9" customHeight="1" x14ac:dyDescent="0.2">
      <c r="B12" s="185"/>
      <c r="C12" s="205"/>
      <c r="D12" s="207"/>
      <c r="E12" s="208"/>
      <c r="F12" s="209"/>
      <c r="G12" s="210"/>
      <c r="H12" s="207"/>
      <c r="I12" s="210"/>
      <c r="J12" s="207"/>
      <c r="K12" s="210"/>
      <c r="L12" s="211"/>
      <c r="M12" s="212"/>
      <c r="N12" s="213"/>
      <c r="O12" s="214"/>
      <c r="P12" s="206"/>
      <c r="Q12" s="178"/>
      <c r="R12" s="177"/>
      <c r="S12" s="178"/>
      <c r="T12" s="177"/>
      <c r="U12" s="179"/>
      <c r="V12" s="180" t="str">
        <f t="shared" ref="V12:V13" si="9">IF(D12="","",AD12)</f>
        <v/>
      </c>
      <c r="W12" s="181"/>
      <c r="X12" s="180" t="str">
        <f t="shared" ref="X12:X13" si="10">IF(D12="","",IF(ISERROR(AE12),"-",AE12))</f>
        <v/>
      </c>
      <c r="Y12" s="181"/>
      <c r="Z12" s="180" t="str">
        <f t="shared" ref="Z12:Z13" si="11">IF(D12="","",D12*F12*AN12)</f>
        <v/>
      </c>
      <c r="AA12" s="182"/>
      <c r="AD12" s="37" t="e">
        <f t="shared" ref="AD12:AD13" si="12">D12*F12*J12*$V$4*AH12</f>
        <v>#VALUE!</v>
      </c>
      <c r="AE12" s="37" t="e">
        <f t="shared" ref="AE12:AE13" si="13">D12*F12*J12*$X$4*AI12</f>
        <v>#VALUE!</v>
      </c>
      <c r="AG12" s="40" t="b">
        <v>0</v>
      </c>
      <c r="AH12" s="37" t="str">
        <f t="shared" ref="AH12:AH13" si="14">IF(AG12=TRUE,"0.93",IF(ISERROR(AK12),"エラー",IF(AK12&gt;0.93,"0.93",AK12)))</f>
        <v>エラー</v>
      </c>
      <c r="AI12" s="37" t="str">
        <f t="shared" ref="AI12:AI13" si="15">IF(AG12=TRUE,"0.51",IF(ISERROR(AL12),"エラー",IF(AL12&gt;0.72,"0.72",AL12)))</f>
        <v>エラー</v>
      </c>
      <c r="AK12" s="37" t="e">
        <f>IF(共通条件・結果!$AA$7="８（Ⅵ）",0.01*(16+19*(2*R12+T12)/P12),0.01*(16+24*(2*R12+T12)/P12))</f>
        <v>#DIV/0!</v>
      </c>
      <c r="AL12" s="37" t="e">
        <f t="shared" ref="AL12:AL13" si="16">0.01*(5+20*(3*R12+T12)/P12)</f>
        <v>#DIV/0!</v>
      </c>
      <c r="AN12" s="37">
        <f>IF(共通条件・結果!$AA$7="８地域",H12,IF(AO12="FALSE",H12,IF(L12="風除室",1/((1/H12)+0.1),0.5*H12+0.5*(1/((1/H12)+AO12)))))</f>
        <v>0</v>
      </c>
      <c r="AO12" s="95" t="str">
        <f t="shared" ref="AO12:AO13" si="17">IF(L12="","FALSE",IF(L12="雨戸",0.1,IF(L12="ｼｬｯﾀｰ",0.1,IF(L12="障子",0.18,IF(L12="風除室",0.1)))))</f>
        <v>FALSE</v>
      </c>
    </row>
    <row r="13" spans="2:41" s="37" customFormat="1" ht="21.9" customHeight="1" x14ac:dyDescent="0.2">
      <c r="B13" s="185"/>
      <c r="C13" s="205"/>
      <c r="D13" s="207"/>
      <c r="E13" s="208"/>
      <c r="F13" s="209"/>
      <c r="G13" s="210"/>
      <c r="H13" s="207"/>
      <c r="I13" s="210"/>
      <c r="J13" s="207"/>
      <c r="K13" s="210"/>
      <c r="L13" s="211"/>
      <c r="M13" s="212"/>
      <c r="N13" s="213"/>
      <c r="O13" s="214"/>
      <c r="P13" s="206"/>
      <c r="Q13" s="178"/>
      <c r="R13" s="177"/>
      <c r="S13" s="178"/>
      <c r="T13" s="177"/>
      <c r="U13" s="179"/>
      <c r="V13" s="180" t="str">
        <f t="shared" si="9"/>
        <v/>
      </c>
      <c r="W13" s="181"/>
      <c r="X13" s="180" t="str">
        <f t="shared" si="10"/>
        <v/>
      </c>
      <c r="Y13" s="181"/>
      <c r="Z13" s="180" t="str">
        <f t="shared" si="11"/>
        <v/>
      </c>
      <c r="AA13" s="182"/>
      <c r="AD13" s="37" t="e">
        <f t="shared" si="12"/>
        <v>#VALUE!</v>
      </c>
      <c r="AE13" s="37" t="e">
        <f t="shared" si="13"/>
        <v>#VALUE!</v>
      </c>
      <c r="AG13" s="40" t="b">
        <v>0</v>
      </c>
      <c r="AH13" s="37" t="str">
        <f t="shared" si="14"/>
        <v>エラー</v>
      </c>
      <c r="AI13" s="37" t="str">
        <f t="shared" si="15"/>
        <v>エラー</v>
      </c>
      <c r="AK13" s="37" t="e">
        <f>IF(共通条件・結果!$AA$7="８（Ⅵ）",0.01*(16+19*(2*R13+T13)/P13),0.01*(16+24*(2*R13+T13)/P13))</f>
        <v>#DIV/0!</v>
      </c>
      <c r="AL13" s="37" t="e">
        <f t="shared" si="16"/>
        <v>#DIV/0!</v>
      </c>
      <c r="AN13" s="37">
        <f>IF(共通条件・結果!$AA$7="８地域",H13,IF(AO13="FALSE",H13,IF(L13="風除室",1/((1/H13)+0.1),0.5*H13+0.5*(1/((1/H13)+AO13)))))</f>
        <v>0</v>
      </c>
      <c r="AO13" s="95" t="str">
        <f t="shared" si="17"/>
        <v>FALSE</v>
      </c>
    </row>
    <row r="14" spans="2:41" s="37" customFormat="1" ht="21.9" customHeight="1" x14ac:dyDescent="0.2">
      <c r="B14" s="185"/>
      <c r="C14" s="186"/>
      <c r="D14" s="187"/>
      <c r="E14" s="188"/>
      <c r="F14" s="188"/>
      <c r="G14" s="189"/>
      <c r="H14" s="190"/>
      <c r="I14" s="190"/>
      <c r="J14" s="190"/>
      <c r="K14" s="190"/>
      <c r="L14" s="203" t="s">
        <v>65</v>
      </c>
      <c r="M14" s="203"/>
      <c r="N14" s="213"/>
      <c r="O14" s="215"/>
      <c r="P14" s="206"/>
      <c r="Q14" s="178"/>
      <c r="R14" s="177"/>
      <c r="S14" s="178"/>
      <c r="T14" s="177"/>
      <c r="U14" s="179"/>
      <c r="V14" s="175" t="str">
        <f t="shared" si="2"/>
        <v/>
      </c>
      <c r="W14" s="175"/>
      <c r="X14" s="175" t="str">
        <f t="shared" si="0"/>
        <v/>
      </c>
      <c r="Y14" s="175"/>
      <c r="Z14" s="175" t="str">
        <f t="shared" si="3"/>
        <v/>
      </c>
      <c r="AA14" s="176"/>
      <c r="AD14" s="37" t="e">
        <f t="shared" si="4"/>
        <v>#VALUE!</v>
      </c>
      <c r="AE14" s="37" t="e">
        <f t="shared" si="5"/>
        <v>#VALUE!</v>
      </c>
      <c r="AG14" s="40" t="b">
        <v>0</v>
      </c>
      <c r="AH14" s="37" t="str">
        <f t="shared" si="6"/>
        <v>エラー</v>
      </c>
      <c r="AI14" s="37" t="str">
        <f t="shared" si="7"/>
        <v>エラー</v>
      </c>
      <c r="AK14" s="37" t="e">
        <f>IF(共通条件・結果!$AA$7="８（Ⅵ）",0.01*(16+19*(2*R14+T14)/P14),0.01*(16+24*(2*R14+T14)/P14))</f>
        <v>#DIV/0!</v>
      </c>
      <c r="AL14" s="37" t="e">
        <f t="shared" si="8"/>
        <v>#DIV/0!</v>
      </c>
      <c r="AN14" s="37" t="e">
        <f>IF(共通条件・結果!$AA$7="８地域",H14,IF(AO14="FALSE",H14,IF(L14="風除室",1/((1/H14)+0.1),0.5*H14+0.5*(1/((1/H14)+AO14)))))</f>
        <v>#DIV/0!</v>
      </c>
      <c r="AO14" s="39" t="b">
        <f t="shared" si="1"/>
        <v>0</v>
      </c>
    </row>
    <row r="15" spans="2:41" s="37" customFormat="1" ht="21.9" customHeight="1" x14ac:dyDescent="0.2">
      <c r="B15" s="185"/>
      <c r="C15" s="186"/>
      <c r="D15" s="187"/>
      <c r="E15" s="188"/>
      <c r="F15" s="188"/>
      <c r="G15" s="189"/>
      <c r="H15" s="190"/>
      <c r="I15" s="190"/>
      <c r="J15" s="190"/>
      <c r="K15" s="190"/>
      <c r="L15" s="203" t="s">
        <v>65</v>
      </c>
      <c r="M15" s="203"/>
      <c r="N15" s="213"/>
      <c r="O15" s="215"/>
      <c r="P15" s="206"/>
      <c r="Q15" s="178"/>
      <c r="R15" s="177"/>
      <c r="S15" s="178"/>
      <c r="T15" s="177"/>
      <c r="U15" s="179"/>
      <c r="V15" s="180" t="str">
        <f t="shared" si="2"/>
        <v/>
      </c>
      <c r="W15" s="181"/>
      <c r="X15" s="175" t="str">
        <f t="shared" si="0"/>
        <v/>
      </c>
      <c r="Y15" s="175"/>
      <c r="Z15" s="175" t="str">
        <f t="shared" si="3"/>
        <v/>
      </c>
      <c r="AA15" s="176"/>
      <c r="AD15" s="37" t="e">
        <f t="shared" si="4"/>
        <v>#VALUE!</v>
      </c>
      <c r="AE15" s="37" t="e">
        <f t="shared" si="5"/>
        <v>#VALUE!</v>
      </c>
      <c r="AG15" s="40" t="b">
        <v>0</v>
      </c>
      <c r="AH15" s="37" t="str">
        <f t="shared" si="6"/>
        <v>エラー</v>
      </c>
      <c r="AI15" s="37" t="str">
        <f t="shared" si="7"/>
        <v>エラー</v>
      </c>
      <c r="AK15" s="37" t="e">
        <f>IF(共通条件・結果!$AA$7="８（Ⅵ）",0.01*(16+19*(2*R15+T15)/P15),0.01*(16+24*(2*R15+T15)/P15))</f>
        <v>#DIV/0!</v>
      </c>
      <c r="AL15" s="37" t="e">
        <f t="shared" si="8"/>
        <v>#DIV/0!</v>
      </c>
      <c r="AN15" s="37" t="e">
        <f>IF(共通条件・結果!$AA$7="８地域",H15,IF(AO15="FALSE",H15,IF(L15="風除室",1/((1/H15)+0.1),0.5*H15+0.5*(1/((1/H15)+AO15)))))</f>
        <v>#DIV/0!</v>
      </c>
      <c r="AO15" s="39" t="b">
        <f t="shared" si="1"/>
        <v>0</v>
      </c>
    </row>
    <row r="16" spans="2:41" s="37" customFormat="1" ht="21.9" customHeight="1" x14ac:dyDescent="0.2">
      <c r="B16" s="185"/>
      <c r="C16" s="186"/>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IF(共通条件・結果!$AA$7="８（Ⅵ）",0.01*(16+19*(2*R16+T16)/P16),0.01*(16+24*(2*R16+T16)/P16))</f>
        <v>#DIV/0!</v>
      </c>
      <c r="AL16" s="37" t="e">
        <f t="shared" si="8"/>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IF(共通条件・結果!$AA$7="８（Ⅵ）",0.01*(16+19*(2*R17+T17)/P17),0.01*(16+24*(2*R17+T17)/P17))</f>
        <v>#DIV/0!</v>
      </c>
      <c r="AL17" s="37" t="e">
        <f t="shared" si="8"/>
        <v>#DIV/0!</v>
      </c>
      <c r="AN17" s="37" t="e">
        <f>IF(共通条件・結果!$AA$7="８地域",H17,IF(AO17="FALSE",H17,IF(L17="風除室",1/((1/H17)+0.1),0.5*H17+0.5*(1/((1/H17)+AO17)))))</f>
        <v>#DIV/0!</v>
      </c>
      <c r="AO17" s="39" t="b">
        <f t="shared" si="1"/>
        <v>0</v>
      </c>
    </row>
    <row r="18" spans="2:41" s="37" customFormat="1" ht="21.9" customHeight="1" x14ac:dyDescent="0.2">
      <c r="B18" s="185"/>
      <c r="C18" s="186"/>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IF(共通条件・結果!$AA$7="８（Ⅵ）",0.01*(16+19*(2*R18+T18)/P18),0.01*(16+24*(2*R18+T18)/P18))</f>
        <v>#DIV/0!</v>
      </c>
      <c r="AL18" s="37" t="e">
        <f t="shared" si="8"/>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IF(共通条件・結果!$AA$7="８（Ⅵ）",0.01*(16+19*(2*R19+T19)/P19),0.01*(16+24*(2*R19+T19)/P19))</f>
        <v>#DIV/0!</v>
      </c>
      <c r="AL19" s="37" t="e">
        <f t="shared" si="8"/>
        <v>#DIV/0!</v>
      </c>
      <c r="AN19" s="37" t="e">
        <f>IF(共通条件・結果!$AA$7="８地域",H19,IF(AO19="FALSE",H19,IF(L19="風除室",1/((1/H19)+0.1),0.5*H19+0.5*(1/((1/H19)+AO19)))))</f>
        <v>#DIV/0!</v>
      </c>
      <c r="AO19" s="39" t="b">
        <f t="shared" si="1"/>
        <v>0</v>
      </c>
    </row>
    <row r="20" spans="2:41" s="37" customFormat="1" ht="21.9" customHeight="1" thickBot="1" x14ac:dyDescent="0.25">
      <c r="B20" s="285" t="s">
        <v>123</v>
      </c>
      <c r="C20" s="286"/>
      <c r="D20" s="286"/>
      <c r="E20" s="286"/>
      <c r="F20" s="286"/>
      <c r="G20" s="286"/>
      <c r="H20" s="286"/>
      <c r="I20" s="286"/>
      <c r="J20" s="286"/>
      <c r="K20" s="286"/>
      <c r="L20" s="286"/>
      <c r="M20" s="286"/>
      <c r="N20" s="286"/>
      <c r="O20" s="286"/>
      <c r="P20" s="286"/>
      <c r="Q20" s="286"/>
      <c r="R20" s="286"/>
      <c r="S20" s="286"/>
      <c r="T20" s="286"/>
      <c r="U20" s="286"/>
      <c r="V20" s="287">
        <f>SUM(V8:W19)</f>
        <v>0</v>
      </c>
      <c r="W20" s="287"/>
      <c r="X20" s="287">
        <f>SUM(X8:Y19)</f>
        <v>0</v>
      </c>
      <c r="Y20" s="287"/>
      <c r="Z20" s="287">
        <f>SUM(Z8:AA19)</f>
        <v>0</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145</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c r="K33" s="184"/>
      <c r="L33" s="316"/>
      <c r="M33" s="317"/>
      <c r="N33" s="316"/>
      <c r="O33" s="317"/>
      <c r="P33" s="318" t="str">
        <f>IF(L33="","",L33-N33)</f>
        <v/>
      </c>
      <c r="Q33" s="319"/>
      <c r="R33" s="356"/>
      <c r="S33" s="356"/>
      <c r="T33" s="320"/>
      <c r="U33" s="320"/>
      <c r="V33" s="175" t="str">
        <f>IF(P33="","",IF(AD33=TRUE,0,P33*R33*0.034*$V$4))</f>
        <v/>
      </c>
      <c r="W33" s="175"/>
      <c r="X33" s="180" t="str">
        <f>IF(P33="","",IF(ISERROR(P33*R33*0.034*$X$4),"-",IF(AD33=TRUE,0,P33*R33*0.034*$X$4)))</f>
        <v/>
      </c>
      <c r="Y33" s="181"/>
      <c r="Z33" s="321" t="str">
        <f>IF(R33="","",IF(AD33=TRUE,0.7*R33*P33,R33*P33))</f>
        <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c r="K34" s="205"/>
      <c r="L34" s="207"/>
      <c r="M34" s="210"/>
      <c r="N34" s="207"/>
      <c r="O34" s="210"/>
      <c r="P34" s="313" t="str">
        <f t="shared" ref="P34:P35" si="18">IF(L34="","",L34-N34)</f>
        <v/>
      </c>
      <c r="Q34" s="314"/>
      <c r="R34" s="207"/>
      <c r="S34" s="210"/>
      <c r="T34" s="352"/>
      <c r="U34" s="353"/>
      <c r="V34" s="180" t="str">
        <f t="shared" ref="V34:V35" si="19">IF(P34="","",IF(AD34=TRUE,0,P34*R34*0.034*$V$4))</f>
        <v/>
      </c>
      <c r="W34" s="181"/>
      <c r="X34" s="180" t="str">
        <f t="shared" ref="X34:X35" si="20">IF(P34="","",IF(ISERROR(P34*R34*0.034*$X$4),"-",IF(AD34=TRUE,0,P34*R34*0.034*$X$4)))</f>
        <v/>
      </c>
      <c r="Y34" s="181"/>
      <c r="Z34" s="180" t="str">
        <f t="shared" ref="Z34:Z35" si="21">IF(R34="","",IF(AD34=TRUE,0.7*R34*P34,R34*P34))</f>
        <v/>
      </c>
      <c r="AA34" s="182"/>
      <c r="AD34" s="40" t="b">
        <v>0</v>
      </c>
      <c r="AE34" s="40">
        <f t="shared" ref="AE34:AE35" si="22">IF(AD34=TRUE,0.7,1)</f>
        <v>1</v>
      </c>
      <c r="AF34" s="40" t="str">
        <f t="shared" ref="AF34:AF35" si="23">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18"/>
        <v/>
      </c>
      <c r="Q35" s="314"/>
      <c r="R35" s="207"/>
      <c r="S35" s="210"/>
      <c r="T35" s="361"/>
      <c r="U35" s="362"/>
      <c r="V35" s="180" t="str">
        <f t="shared" si="19"/>
        <v/>
      </c>
      <c r="W35" s="181"/>
      <c r="X35" s="180" t="str">
        <f t="shared" si="20"/>
        <v/>
      </c>
      <c r="Y35" s="181"/>
      <c r="Z35" s="180" t="str">
        <f t="shared" si="21"/>
        <v/>
      </c>
      <c r="AA35" s="182"/>
      <c r="AD35" s="40" t="b">
        <v>0</v>
      </c>
      <c r="AE35" s="40">
        <f t="shared" si="22"/>
        <v>1</v>
      </c>
      <c r="AF35" s="40" t="str">
        <f t="shared" si="23"/>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124</v>
      </c>
      <c r="K38" s="286"/>
      <c r="L38" s="286"/>
      <c r="M38" s="286"/>
      <c r="N38" s="286"/>
      <c r="O38" s="286"/>
      <c r="P38" s="286"/>
      <c r="Q38" s="286"/>
      <c r="R38" s="286"/>
      <c r="S38" s="286"/>
      <c r="T38" s="286"/>
      <c r="U38" s="312"/>
      <c r="V38" s="287">
        <f>SUM(V33:W37)</f>
        <v>0</v>
      </c>
      <c r="W38" s="287"/>
      <c r="X38" s="287">
        <f>SUM(X33:Y37)</f>
        <v>0</v>
      </c>
      <c r="Y38" s="287"/>
      <c r="Z38" s="287">
        <f>SUM(Z33:AA37)</f>
        <v>0</v>
      </c>
      <c r="AA38" s="288"/>
    </row>
    <row r="39" spans="2:32" s="37" customFormat="1" ht="9.9" customHeight="1" x14ac:dyDescent="0.2"/>
    <row r="40" spans="2:32" s="37" customFormat="1" ht="21.9" customHeight="1" thickBot="1" x14ac:dyDescent="0.25">
      <c r="B40" s="38" t="s">
        <v>125</v>
      </c>
    </row>
    <row r="41" spans="2:32" s="37" customFormat="1" ht="21.9" customHeight="1" x14ac:dyDescent="0.2">
      <c r="B41" s="291" t="s">
        <v>104</v>
      </c>
      <c r="C41" s="292"/>
      <c r="D41" s="305" t="s">
        <v>56</v>
      </c>
      <c r="E41" s="306"/>
      <c r="F41" s="306"/>
      <c r="G41" s="306"/>
      <c r="H41" s="306"/>
      <c r="I41" s="306"/>
      <c r="J41" s="307"/>
      <c r="K41" s="42"/>
      <c r="L41" s="301">
        <f>Q41+U41+Y41</f>
        <v>0</v>
      </c>
      <c r="M41" s="301"/>
      <c r="N41" s="301"/>
      <c r="O41" s="42" t="s">
        <v>24</v>
      </c>
      <c r="P41" s="43" t="s">
        <v>23</v>
      </c>
      <c r="Q41" s="302">
        <f>D8*F8+D9*F9+D10*F10+D11*F11+D12*F12+D13*F13+D14*F14+D15*F15+D16*F16+D17*F17+D18*F18+D19*F19</f>
        <v>0</v>
      </c>
      <c r="R41" s="302"/>
      <c r="S41" s="44" t="s">
        <v>25</v>
      </c>
      <c r="T41" s="44" t="s">
        <v>22</v>
      </c>
      <c r="U41" s="303">
        <f>N25*P25+N26*P26+N27*P27</f>
        <v>0</v>
      </c>
      <c r="V41" s="303"/>
      <c r="W41" s="44" t="s">
        <v>25</v>
      </c>
      <c r="X41" s="44" t="s">
        <v>1</v>
      </c>
      <c r="Y41" s="304">
        <f>SUM(P33:Q37)</f>
        <v>0</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0</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dzFtL4KhkBZ8HofTFLgdF3eafhoGZWgs5F66RxjVsvdor7rUKVgZ7EI05PaDbhLuOf/ACXC2tKaWbKOHP2CFsQ==" saltValue="u6GhgUWgeRBjJ2LPsUZ9Bg==" spinCount="100000" sheet="1" objects="1" scenarios="1" selectLockedCells="1"/>
  <mergeCells count="293">
    <mergeCell ref="L34:M34"/>
    <mergeCell ref="L35:M35"/>
    <mergeCell ref="N34:O34"/>
    <mergeCell ref="N35:O35"/>
    <mergeCell ref="P34:Q34"/>
    <mergeCell ref="P35:Q35"/>
    <mergeCell ref="R34:S34"/>
    <mergeCell ref="R35:S35"/>
    <mergeCell ref="V34:W34"/>
    <mergeCell ref="V35:W35"/>
    <mergeCell ref="T34:U34"/>
    <mergeCell ref="T35:U35"/>
    <mergeCell ref="V12:W12"/>
    <mergeCell ref="V13:W13"/>
    <mergeCell ref="X12:Y12"/>
    <mergeCell ref="X13:Y13"/>
    <mergeCell ref="Z12:AA12"/>
    <mergeCell ref="Z13:AA13"/>
    <mergeCell ref="J26:M26"/>
    <mergeCell ref="N26:O26"/>
    <mergeCell ref="P26:Q26"/>
    <mergeCell ref="R26:S26"/>
    <mergeCell ref="T26:U26"/>
    <mergeCell ref="V26:W26"/>
    <mergeCell ref="X26:Y26"/>
    <mergeCell ref="Z26:AA26"/>
    <mergeCell ref="N12:O12"/>
    <mergeCell ref="N13:O13"/>
    <mergeCell ref="L12:M12"/>
    <mergeCell ref="L13:M13"/>
    <mergeCell ref="P12:Q12"/>
    <mergeCell ref="P13:Q13"/>
    <mergeCell ref="R12:S12"/>
    <mergeCell ref="R13:S13"/>
    <mergeCell ref="T12:U12"/>
    <mergeCell ref="T13:U13"/>
    <mergeCell ref="B12:C12"/>
    <mergeCell ref="B13:C13"/>
    <mergeCell ref="D12:E12"/>
    <mergeCell ref="D13:E13"/>
    <mergeCell ref="F12:G12"/>
    <mergeCell ref="F13:G13"/>
    <mergeCell ref="H12:I12"/>
    <mergeCell ref="H13:I13"/>
    <mergeCell ref="J12:K12"/>
    <mergeCell ref="J13:K13"/>
    <mergeCell ref="J34:K34"/>
    <mergeCell ref="J35:K35"/>
    <mergeCell ref="J27:M27"/>
    <mergeCell ref="J31:K32"/>
    <mergeCell ref="J28:U28"/>
    <mergeCell ref="J38:U38"/>
    <mergeCell ref="D6:E7"/>
    <mergeCell ref="F6:G7"/>
    <mergeCell ref="N6:O7"/>
    <mergeCell ref="P6:U6"/>
    <mergeCell ref="N8:O8"/>
    <mergeCell ref="P8:Q8"/>
    <mergeCell ref="T10:U10"/>
    <mergeCell ref="T14:U14"/>
    <mergeCell ref="T16:U16"/>
    <mergeCell ref="N25:O25"/>
    <mergeCell ref="P25:Q25"/>
    <mergeCell ref="R25:S25"/>
    <mergeCell ref="T25:U25"/>
    <mergeCell ref="J23:M24"/>
    <mergeCell ref="J25:M25"/>
    <mergeCell ref="L36:M36"/>
    <mergeCell ref="N36:O36"/>
    <mergeCell ref="P36:Q36"/>
    <mergeCell ref="J36:K36"/>
    <mergeCell ref="J33:K33"/>
    <mergeCell ref="B2:AA2"/>
    <mergeCell ref="R4:U4"/>
    <mergeCell ref="V4:W4"/>
    <mergeCell ref="X4:Y4"/>
    <mergeCell ref="B5:C7"/>
    <mergeCell ref="D5:G5"/>
    <mergeCell ref="H5:I7"/>
    <mergeCell ref="J5:K7"/>
    <mergeCell ref="L5:M7"/>
    <mergeCell ref="N5:U5"/>
    <mergeCell ref="J8:K8"/>
    <mergeCell ref="L8:M8"/>
    <mergeCell ref="R8:S8"/>
    <mergeCell ref="T8:U8"/>
    <mergeCell ref="V8:W8"/>
    <mergeCell ref="J10:K10"/>
    <mergeCell ref="L10:M10"/>
    <mergeCell ref="N10:O10"/>
    <mergeCell ref="P10:Q10"/>
    <mergeCell ref="R10:S10"/>
    <mergeCell ref="X8:Y8"/>
    <mergeCell ref="Z8:AA8"/>
    <mergeCell ref="AD6:AE6"/>
    <mergeCell ref="AH6:AI6"/>
    <mergeCell ref="AK6:AL6"/>
    <mergeCell ref="AN6:AO6"/>
    <mergeCell ref="P7:Q7"/>
    <mergeCell ref="R7:S7"/>
    <mergeCell ref="T7:U7"/>
    <mergeCell ref="V5:W7"/>
    <mergeCell ref="X5:Y7"/>
    <mergeCell ref="Z5:AA7"/>
    <mergeCell ref="B9:C9"/>
    <mergeCell ref="D9:E9"/>
    <mergeCell ref="F9:G9"/>
    <mergeCell ref="H9:I9"/>
    <mergeCell ref="J9:K9"/>
    <mergeCell ref="L9:M9"/>
    <mergeCell ref="N9:O9"/>
    <mergeCell ref="P9:Q9"/>
    <mergeCell ref="R9:S9"/>
    <mergeCell ref="T9:U9"/>
    <mergeCell ref="V9:W9"/>
    <mergeCell ref="X9:Y9"/>
    <mergeCell ref="Z9:AA9"/>
    <mergeCell ref="B8:C8"/>
    <mergeCell ref="D8:E8"/>
    <mergeCell ref="F8:G8"/>
    <mergeCell ref="H8:I8"/>
    <mergeCell ref="L14:M14"/>
    <mergeCell ref="N14:O14"/>
    <mergeCell ref="P14:Q14"/>
    <mergeCell ref="R14:S14"/>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N16:O16"/>
    <mergeCell ref="P16:Q16"/>
    <mergeCell ref="R16:S16"/>
    <mergeCell ref="V14:W14"/>
    <mergeCell ref="X14:Y14"/>
    <mergeCell ref="Z14:AA14"/>
    <mergeCell ref="B15:C15"/>
    <mergeCell ref="D15:E15"/>
    <mergeCell ref="F15:G15"/>
    <mergeCell ref="H15:I15"/>
    <mergeCell ref="J15:K15"/>
    <mergeCell ref="L15:M15"/>
    <mergeCell ref="N15:O15"/>
    <mergeCell ref="P15:Q15"/>
    <mergeCell ref="R15:S15"/>
    <mergeCell ref="T15:U15"/>
    <mergeCell ref="V15:W15"/>
    <mergeCell ref="X15:Y15"/>
    <mergeCell ref="Z15:AA15"/>
    <mergeCell ref="B14:C14"/>
    <mergeCell ref="D14:E14"/>
    <mergeCell ref="F14:G14"/>
    <mergeCell ref="H14:I14"/>
    <mergeCell ref="J14:K14"/>
    <mergeCell ref="Z18:AA18"/>
    <mergeCell ref="X18:Y18"/>
    <mergeCell ref="V16:W16"/>
    <mergeCell ref="X16:Y16"/>
    <mergeCell ref="Z16:AA16"/>
    <mergeCell ref="B17:C17"/>
    <mergeCell ref="D17:E17"/>
    <mergeCell ref="F17:G17"/>
    <mergeCell ref="H17:I17"/>
    <mergeCell ref="J17:K17"/>
    <mergeCell ref="L17:M17"/>
    <mergeCell ref="N17:O17"/>
    <mergeCell ref="P17:Q17"/>
    <mergeCell ref="R17:S17"/>
    <mergeCell ref="T17:U17"/>
    <mergeCell ref="V17:W17"/>
    <mergeCell ref="X17:Y17"/>
    <mergeCell ref="Z17:AA17"/>
    <mergeCell ref="B16:C16"/>
    <mergeCell ref="D16:E16"/>
    <mergeCell ref="F16:G16"/>
    <mergeCell ref="H16:I16"/>
    <mergeCell ref="J16:K16"/>
    <mergeCell ref="L16:M16"/>
    <mergeCell ref="R18:S18"/>
    <mergeCell ref="T18:U18"/>
    <mergeCell ref="V18:W18"/>
    <mergeCell ref="B18:C18"/>
    <mergeCell ref="D18:E18"/>
    <mergeCell ref="F18:G18"/>
    <mergeCell ref="H18:I18"/>
    <mergeCell ref="J18:K18"/>
    <mergeCell ref="L18:M18"/>
    <mergeCell ref="N18:O18"/>
    <mergeCell ref="P18:Q18"/>
    <mergeCell ref="X19:Y19"/>
    <mergeCell ref="Z19:AA19"/>
    <mergeCell ref="B20:U20"/>
    <mergeCell ref="V20:W20"/>
    <mergeCell ref="X20:Y20"/>
    <mergeCell ref="Z20:AA20"/>
    <mergeCell ref="L19:M19"/>
    <mergeCell ref="N19:O19"/>
    <mergeCell ref="P19:Q19"/>
    <mergeCell ref="R19:S19"/>
    <mergeCell ref="B19:C19"/>
    <mergeCell ref="D19:E19"/>
    <mergeCell ref="F19:G19"/>
    <mergeCell ref="H19:I19"/>
    <mergeCell ref="J19:K19"/>
    <mergeCell ref="T19:U19"/>
    <mergeCell ref="V19:W19"/>
    <mergeCell ref="AN21:AO21"/>
    <mergeCell ref="N23:Q23"/>
    <mergeCell ref="R23:S24"/>
    <mergeCell ref="T23:U24"/>
    <mergeCell ref="V23:W24"/>
    <mergeCell ref="X23:Y24"/>
    <mergeCell ref="Z23:AA24"/>
    <mergeCell ref="AN23:AO23"/>
    <mergeCell ref="N24:O24"/>
    <mergeCell ref="P24:Q24"/>
    <mergeCell ref="V25:W25"/>
    <mergeCell ref="X25:Y25"/>
    <mergeCell ref="Z25:AA25"/>
    <mergeCell ref="N27:O27"/>
    <mergeCell ref="P27:Q27"/>
    <mergeCell ref="R27:S27"/>
    <mergeCell ref="T27:U27"/>
    <mergeCell ref="V27:W27"/>
    <mergeCell ref="X27:Y27"/>
    <mergeCell ref="Z27:AA27"/>
    <mergeCell ref="V28:W28"/>
    <mergeCell ref="X28:Y28"/>
    <mergeCell ref="Z28:AA28"/>
    <mergeCell ref="L31:M32"/>
    <mergeCell ref="N31:O32"/>
    <mergeCell ref="P31:Q32"/>
    <mergeCell ref="R31:S32"/>
    <mergeCell ref="T31:U32"/>
    <mergeCell ref="L33:M33"/>
    <mergeCell ref="N33:O33"/>
    <mergeCell ref="P33:Q33"/>
    <mergeCell ref="R33:S33"/>
    <mergeCell ref="T33:U33"/>
    <mergeCell ref="V33:W33"/>
    <mergeCell ref="X36:Y36"/>
    <mergeCell ref="Z36:AA36"/>
    <mergeCell ref="V31:W32"/>
    <mergeCell ref="X31:Y32"/>
    <mergeCell ref="Z31:AA32"/>
    <mergeCell ref="X33:Y33"/>
    <mergeCell ref="R37:S37"/>
    <mergeCell ref="T37:U37"/>
    <mergeCell ref="V37:W37"/>
    <mergeCell ref="Z33:AA33"/>
    <mergeCell ref="R36:S36"/>
    <mergeCell ref="T36:U36"/>
    <mergeCell ref="V36:W36"/>
    <mergeCell ref="X37:Y37"/>
    <mergeCell ref="Z37:AA37"/>
    <mergeCell ref="X34:Y34"/>
    <mergeCell ref="X35:Y35"/>
    <mergeCell ref="Z34:AA34"/>
    <mergeCell ref="Z35:AA35"/>
    <mergeCell ref="V38:W38"/>
    <mergeCell ref="X38:Y38"/>
    <mergeCell ref="Z38:AA38"/>
    <mergeCell ref="L37:M37"/>
    <mergeCell ref="N37:O37"/>
    <mergeCell ref="P37:Q37"/>
    <mergeCell ref="J37:K37"/>
    <mergeCell ref="D44:J44"/>
    <mergeCell ref="W44:Y44"/>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168" priority="51" stopIfTrue="1">
      <formula>$V$20=0</formula>
    </cfRule>
  </conditionalFormatting>
  <conditionalFormatting sqref="X20:Y20">
    <cfRule type="expression" dxfId="167" priority="50" stopIfTrue="1">
      <formula>$X$20=0</formula>
    </cfRule>
  </conditionalFormatting>
  <conditionalFormatting sqref="Z20:AA20">
    <cfRule type="expression" dxfId="166" priority="49" stopIfTrue="1">
      <formula>$Z$20=0</formula>
    </cfRule>
  </conditionalFormatting>
  <conditionalFormatting sqref="V28:W28">
    <cfRule type="expression" dxfId="165" priority="48" stopIfTrue="1">
      <formula>$V$28:$W$28=0</formula>
    </cfRule>
  </conditionalFormatting>
  <conditionalFormatting sqref="V38:W38">
    <cfRule type="expression" dxfId="164" priority="47" stopIfTrue="1">
      <formula>$V$38:$W$38=0</formula>
    </cfRule>
  </conditionalFormatting>
  <conditionalFormatting sqref="Y41:Z41">
    <cfRule type="expression" dxfId="163" priority="46" stopIfTrue="1">
      <formula>$Y$41=0</formula>
    </cfRule>
  </conditionalFormatting>
  <conditionalFormatting sqref="Q41:R41">
    <cfRule type="expression" dxfId="162" priority="45" stopIfTrue="1">
      <formula>$Q$41=0</formula>
    </cfRule>
  </conditionalFormatting>
  <conditionalFormatting sqref="U41:V41">
    <cfRule type="expression" dxfId="161" priority="44" stopIfTrue="1">
      <formula>$U$41=0</formula>
    </cfRule>
  </conditionalFormatting>
  <conditionalFormatting sqref="L41:N41">
    <cfRule type="expression" dxfId="160" priority="43" stopIfTrue="1">
      <formula>$L$41=0</formula>
    </cfRule>
  </conditionalFormatting>
  <conditionalFormatting sqref="X8:Y8">
    <cfRule type="expression" dxfId="159" priority="41" stopIfTrue="1">
      <formula>#VALUE!</formula>
    </cfRule>
    <cfRule type="expression" dxfId="158" priority="42" stopIfTrue="1">
      <formula>#VALUE!</formula>
    </cfRule>
  </conditionalFormatting>
  <conditionalFormatting sqref="X19:Y19">
    <cfRule type="expression" dxfId="157" priority="40" stopIfTrue="1">
      <formula>#VALUE!</formula>
    </cfRule>
  </conditionalFormatting>
  <conditionalFormatting sqref="X8:Y8">
    <cfRule type="expression" dxfId="156" priority="28" stopIfTrue="1">
      <formula>#VALUE!</formula>
    </cfRule>
    <cfRule type="expression" dxfId="155" priority="29" stopIfTrue="1">
      <formula>#VALUE!</formula>
    </cfRule>
  </conditionalFormatting>
  <conditionalFormatting sqref="X19:Y19">
    <cfRule type="expression" dxfId="154" priority="27" stopIfTrue="1">
      <formula>#VALUE!</formula>
    </cfRule>
  </conditionalFormatting>
  <conditionalFormatting sqref="X28:Y28">
    <cfRule type="expression" dxfId="153" priority="26" stopIfTrue="1">
      <formula>$X$28:$Y$28=0</formula>
    </cfRule>
  </conditionalFormatting>
  <conditionalFormatting sqref="Z28:AA28">
    <cfRule type="expression" dxfId="152" priority="25" stopIfTrue="1">
      <formula>$Z$28:$AA$28=0</formula>
    </cfRule>
  </conditionalFormatting>
  <conditionalFormatting sqref="X38:Y38">
    <cfRule type="expression" dxfId="151" priority="24" stopIfTrue="1">
      <formula>$X$38:$Y$38=0</formula>
    </cfRule>
  </conditionalFormatting>
  <conditionalFormatting sqref="Z38:AA38">
    <cfRule type="expression" dxfId="150" priority="23" stopIfTrue="1">
      <formula>$Z$38:$AA$38=0</formula>
    </cfRule>
  </conditionalFormatting>
  <conditionalFormatting sqref="P8:U8">
    <cfRule type="expression" dxfId="149" priority="12" stopIfTrue="1">
      <formula>$AG$8=TRUE</formula>
    </cfRule>
  </conditionalFormatting>
  <conditionalFormatting sqref="P15:U15">
    <cfRule type="expression" dxfId="148" priority="11" stopIfTrue="1">
      <formula>$AG$15=TRUE</formula>
    </cfRule>
  </conditionalFormatting>
  <conditionalFormatting sqref="P16:U16">
    <cfRule type="expression" dxfId="147" priority="10" stopIfTrue="1">
      <formula>$AG$16=TRUE</formula>
    </cfRule>
  </conditionalFormatting>
  <conditionalFormatting sqref="P17:U17">
    <cfRule type="expression" dxfId="146" priority="9" stopIfTrue="1">
      <formula>$AG$17=TRUE</formula>
    </cfRule>
  </conditionalFormatting>
  <conditionalFormatting sqref="P18:U18">
    <cfRule type="expression" dxfId="145" priority="8" stopIfTrue="1">
      <formula>$AG$18=TRUE</formula>
    </cfRule>
  </conditionalFormatting>
  <conditionalFormatting sqref="P19:U19">
    <cfRule type="expression" dxfId="144" priority="7" stopIfTrue="1">
      <formula>$AG$19=TRUE</formula>
    </cfRule>
  </conditionalFormatting>
  <conditionalFormatting sqref="P10:U10">
    <cfRule type="expression" dxfId="143" priority="6" stopIfTrue="1">
      <formula>$AG$10=TRUE</formula>
    </cfRule>
  </conditionalFormatting>
  <conditionalFormatting sqref="P11:U11">
    <cfRule type="expression" dxfId="142" priority="5" stopIfTrue="1">
      <formula>$AG$11=TRUE</formula>
    </cfRule>
  </conditionalFormatting>
  <conditionalFormatting sqref="P14:U14">
    <cfRule type="expression" dxfId="141" priority="4" stopIfTrue="1">
      <formula>$AG$14=TRUE</formula>
    </cfRule>
  </conditionalFormatting>
  <conditionalFormatting sqref="P9:U9">
    <cfRule type="expression" dxfId="140" priority="3" stopIfTrue="1">
      <formula>$AG$9=TRUE</formula>
    </cfRule>
  </conditionalFormatting>
  <conditionalFormatting sqref="P12:U12">
    <cfRule type="expression" dxfId="139" priority="2">
      <formula>$AG$12=TRUE</formula>
    </cfRule>
  </conditionalFormatting>
  <conditionalFormatting sqref="P13:U13">
    <cfRule type="expression" dxfId="138" priority="1">
      <formula>$AG$13=TRUE</formula>
    </cfRule>
  </conditionalFormatting>
  <dataValidations count="1">
    <dataValidation type="list" allowBlank="1" showInputMessage="1" showErrorMessage="1" sqref="M14:M19 L8:L19 M8:M11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100354"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100355"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100356"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100360"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100361"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100362"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100375" r:id="rId14" name="Check Box 23">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100376" r:id="rId15" name="Check Box 24">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100377" r:id="rId16" name="Check Box 25">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100387" r:id="rId17" name="Check Box 35">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100388" r:id="rId18" name="Check Box 36">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100389" r:id="rId19" name="Check Box 37">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100391" r:id="rId20" name="Check Box 39">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AO106"/>
  <sheetViews>
    <sheetView showGridLines="0" view="pageBreakPreview" topLeftCell="A28" zoomScaleNormal="100" zoomScaleSheetLayoutView="100" workbookViewId="0">
      <selection activeCell="R33" sqref="R33:S33"/>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112</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359">
        <f>IF(共通条件・結果!AA7="８地域","0.480",IF(共通条件・結果!AA7="７地域",0.412,IF(共通条件・結果!AA7="６地域",0.434,IF(共通条件・結果!AA7="５地域",0.472,IF(共通条件・結果!AA7="４地域",0.437,IF(共通条件・結果!AA7="３地域",0.476,IF(共通条件・結果!AA7="２地域",0.507,IF(共通条件・結果!AA7="１地域",0.502))))))))</f>
        <v>0.50700000000000001</v>
      </c>
      <c r="W4" s="360"/>
      <c r="X4" s="359">
        <f>IF(共通条件・結果!AA7="８地域","-",IF(共通条件・結果!AA7="７地域",1.023,IF(共通条件・結果!AA7="６地域",0.936,IF(共通条件・結果!AA7="５地域",0.983,IF(共通条件・結果!AA7="４地域",0.815,IF(共通条件・結果!AA7="３地域",0.851,IF(共通条件・結果!AA7="２地域",0.856,IF(共通条件・結果!AA7="１地域",0.935))))))))</f>
        <v>0.85599999999999998</v>
      </c>
      <c r="Y4" s="360"/>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t="s">
        <v>246</v>
      </c>
      <c r="C8" s="263"/>
      <c r="D8" s="264">
        <v>1.69</v>
      </c>
      <c r="E8" s="265"/>
      <c r="F8" s="265">
        <v>1.37</v>
      </c>
      <c r="G8" s="266"/>
      <c r="H8" s="267">
        <v>1.6</v>
      </c>
      <c r="I8" s="267"/>
      <c r="J8" s="267">
        <v>0.39</v>
      </c>
      <c r="K8" s="267"/>
      <c r="L8" s="268"/>
      <c r="M8" s="268"/>
      <c r="N8" s="251"/>
      <c r="O8" s="252"/>
      <c r="P8" s="257"/>
      <c r="Q8" s="258"/>
      <c r="R8" s="259"/>
      <c r="S8" s="260"/>
      <c r="T8" s="261"/>
      <c r="U8" s="257"/>
      <c r="V8" s="256">
        <f>IF(D8="","",AD8)</f>
        <v>0.42575797017000006</v>
      </c>
      <c r="W8" s="256"/>
      <c r="X8" s="256">
        <f t="shared" ref="X8:X19" si="0">IF(D8="","",IF(ISERROR(AE8),"-",AE8))</f>
        <v>0.39419927352000006</v>
      </c>
      <c r="Y8" s="256"/>
      <c r="Z8" s="256">
        <f>IF(D8="","",D8*F8*AN8)</f>
        <v>3.7044800000000002</v>
      </c>
      <c r="AA8" s="262"/>
      <c r="AD8" s="37">
        <f>D8*F8*J8*$V$4*AH8</f>
        <v>0.42575797017000006</v>
      </c>
      <c r="AE8" s="37">
        <f>D8*F8*J8*$X$4*AI8</f>
        <v>0.39419927352000006</v>
      </c>
      <c r="AG8" s="40" t="b">
        <v>1</v>
      </c>
      <c r="AH8" s="37" t="str">
        <f>IF(AG8=TRUE,"0.93",IF(ISERROR(AK8),"エラー",IF(AK8&gt;0.93,"0.93",AK8)))</f>
        <v>0.93</v>
      </c>
      <c r="AI8" s="37" t="str">
        <f>IF(AG8=TRUE,"0.51",IF(ISERROR(AL8),"エラー",IF(AL8&gt;0.72,"0.72",AL8)))</f>
        <v>0.51</v>
      </c>
      <c r="AK8" s="37" t="e">
        <f>IF(共通条件・結果!$AA$7="８（Ⅵ）",0.01*(16+19*(2*R8+T8)/P8),0.01*(24+9*(3*R8+T8)/P8))</f>
        <v>#DIV/0!</v>
      </c>
      <c r="AL8" s="37" t="e">
        <f>0.01*(5+20*(3*R8+T8)/P8)</f>
        <v>#DIV/0!</v>
      </c>
      <c r="AN8" s="37">
        <f>IF(共通条件・結果!$AA$7="８地域",H8,IF(AO8="FALSE",H8,IF(L8="風除室",1/((1/H8)+0.1),0.5*H8+0.5*(1/((1/H8)+AO8)))))</f>
        <v>1.6</v>
      </c>
      <c r="AO8" s="39" t="str">
        <f t="shared" ref="AO8:AO19" si="1">IF(L8="","FALSE",IF(L8="雨戸",0.1,IF(L8="ｼｬｯﾀｰ",0.1,IF(L8="障子",0.18,IF(L8="風除室",0.1)))))</f>
        <v>FALSE</v>
      </c>
    </row>
    <row r="9" spans="2:41" s="37" customFormat="1" ht="21.9" customHeight="1" x14ac:dyDescent="0.2">
      <c r="B9" s="185" t="s">
        <v>247</v>
      </c>
      <c r="C9" s="186"/>
      <c r="D9" s="187">
        <v>2.56</v>
      </c>
      <c r="E9" s="188"/>
      <c r="F9" s="188">
        <v>2.0299999999999998</v>
      </c>
      <c r="G9" s="189"/>
      <c r="H9" s="190">
        <v>1.6</v>
      </c>
      <c r="I9" s="190"/>
      <c r="J9" s="190">
        <v>0.39</v>
      </c>
      <c r="K9" s="190"/>
      <c r="L9" s="203"/>
      <c r="M9" s="203"/>
      <c r="N9" s="213"/>
      <c r="O9" s="215"/>
      <c r="P9" s="269"/>
      <c r="Q9" s="206"/>
      <c r="R9" s="270"/>
      <c r="S9" s="271"/>
      <c r="T9" s="179"/>
      <c r="U9" s="269"/>
      <c r="V9" s="175">
        <f t="shared" ref="V9:V19" si="2">IF(D9="","",AD9)</f>
        <v>0.95563383552000014</v>
      </c>
      <c r="W9" s="175"/>
      <c r="X9" s="175">
        <f t="shared" si="0"/>
        <v>0.88479885312000006</v>
      </c>
      <c r="Y9" s="175"/>
      <c r="Z9" s="175">
        <f t="shared" ref="Z9:Z19" si="3">IF(D9="","",D9*F9*AN9)</f>
        <v>8.3148800000000005</v>
      </c>
      <c r="AA9" s="176"/>
      <c r="AD9" s="37">
        <f t="shared" ref="AD9:AD19" si="4">D9*F9*J9*$V$4*AH9</f>
        <v>0.95563383552000014</v>
      </c>
      <c r="AE9" s="37">
        <f t="shared" ref="AE9:AE19" si="5">D9*F9*J9*$X$4*AI9</f>
        <v>0.88479885312000006</v>
      </c>
      <c r="AG9" s="40" t="b">
        <v>1</v>
      </c>
      <c r="AH9" s="37" t="str">
        <f t="shared" ref="AH9:AH19" si="6">IF(AG9=TRUE,"0.93",IF(ISERROR(AK9),"エラー",IF(AK9&gt;0.93,"0.93",AK9)))</f>
        <v>0.93</v>
      </c>
      <c r="AI9" s="37" t="str">
        <f t="shared" ref="AI9:AI19" si="7">IF(AG9=TRUE,"0.51",IF(ISERROR(AL9),"エラー",IF(AL9&gt;0.72,"0.72",AL9)))</f>
        <v>0.51</v>
      </c>
      <c r="AK9" s="37" t="e">
        <f>IF(共通条件・結果!$AA$7="８（Ⅵ）",0.01*(16+19*(2*R9+T9)/P9),0.01*(24+9*(3*R9+T9)/P9))</f>
        <v>#DIV/0!</v>
      </c>
      <c r="AL9" s="37" t="e">
        <f t="shared" ref="AL9:AL19" si="8">0.01*(5+20*(3*R9+T9)/P9)</f>
        <v>#DIV/0!</v>
      </c>
      <c r="AN9" s="37">
        <f>IF(共通条件・結果!$AA$7="８地域",H9,IF(AO9="FALSE",H9,IF(L9="風除室",1/((1/H9)+0.1),0.5*H9+0.5*(1/((1/H9)+AO9)))))</f>
        <v>1.6</v>
      </c>
      <c r="AO9" s="39" t="str">
        <f t="shared" si="1"/>
        <v>FALSE</v>
      </c>
    </row>
    <row r="10" spans="2:41" s="37" customFormat="1" ht="21.9" customHeight="1" x14ac:dyDescent="0.2">
      <c r="B10" s="185" t="s">
        <v>248</v>
      </c>
      <c r="C10" s="186"/>
      <c r="D10" s="187">
        <v>1.69</v>
      </c>
      <c r="E10" s="188"/>
      <c r="F10" s="188">
        <v>1.17</v>
      </c>
      <c r="G10" s="189"/>
      <c r="H10" s="190">
        <v>1.6</v>
      </c>
      <c r="I10" s="190"/>
      <c r="J10" s="190">
        <v>0.39</v>
      </c>
      <c r="K10" s="190"/>
      <c r="L10" s="203"/>
      <c r="M10" s="203"/>
      <c r="N10" s="213"/>
      <c r="O10" s="215"/>
      <c r="P10" s="206"/>
      <c r="Q10" s="178"/>
      <c r="R10" s="177"/>
      <c r="S10" s="178"/>
      <c r="T10" s="177"/>
      <c r="U10" s="179"/>
      <c r="V10" s="175">
        <f t="shared" si="2"/>
        <v>0.36360352197000001</v>
      </c>
      <c r="W10" s="175"/>
      <c r="X10" s="175">
        <f t="shared" si="0"/>
        <v>0.33665193431999996</v>
      </c>
      <c r="Y10" s="175"/>
      <c r="Z10" s="175">
        <f t="shared" si="3"/>
        <v>3.1636799999999998</v>
      </c>
      <c r="AA10" s="176"/>
      <c r="AD10" s="37">
        <f t="shared" si="4"/>
        <v>0.36360352197000001</v>
      </c>
      <c r="AE10" s="37">
        <f t="shared" si="5"/>
        <v>0.33665193431999996</v>
      </c>
      <c r="AG10" s="40" t="b">
        <v>1</v>
      </c>
      <c r="AH10" s="37" t="str">
        <f t="shared" si="6"/>
        <v>0.93</v>
      </c>
      <c r="AI10" s="37" t="str">
        <f t="shared" si="7"/>
        <v>0.51</v>
      </c>
      <c r="AK10" s="37" t="e">
        <f>IF(共通条件・結果!$AA$7="８（Ⅵ）",0.01*(16+19*(2*R10+T10)/P10),0.01*(24+9*(3*R10+T10)/P10))</f>
        <v>#DIV/0!</v>
      </c>
      <c r="AL10" s="37" t="e">
        <f t="shared" si="8"/>
        <v>#DIV/0!</v>
      </c>
      <c r="AN10" s="37">
        <f>IF(共通条件・結果!$AA$7="８地域",H10,IF(AO10="FALSE",H10,IF(L10="風除室",1/((1/H10)+0.1),0.5*H10+0.5*(1/((1/H10)+AO10)))))</f>
        <v>1.6</v>
      </c>
      <c r="AO10" s="39" t="str">
        <f t="shared" si="1"/>
        <v>FALSE</v>
      </c>
    </row>
    <row r="11" spans="2:41" s="37" customFormat="1" ht="21.9" customHeight="1" x14ac:dyDescent="0.2">
      <c r="B11" s="185" t="s">
        <v>249</v>
      </c>
      <c r="C11" s="186"/>
      <c r="D11" s="187">
        <v>1.69</v>
      </c>
      <c r="E11" s="188"/>
      <c r="F11" s="188">
        <v>1.37</v>
      </c>
      <c r="G11" s="189"/>
      <c r="H11" s="190">
        <v>1.6</v>
      </c>
      <c r="I11" s="190"/>
      <c r="J11" s="190">
        <v>0.39</v>
      </c>
      <c r="K11" s="190"/>
      <c r="L11" s="203"/>
      <c r="M11" s="203"/>
      <c r="N11" s="213"/>
      <c r="O11" s="215"/>
      <c r="P11" s="206"/>
      <c r="Q11" s="178"/>
      <c r="R11" s="177"/>
      <c r="S11" s="178"/>
      <c r="T11" s="177"/>
      <c r="U11" s="179"/>
      <c r="V11" s="175">
        <f t="shared" si="2"/>
        <v>0.42575797017000006</v>
      </c>
      <c r="W11" s="175"/>
      <c r="X11" s="175">
        <f t="shared" si="0"/>
        <v>0.39419927352000006</v>
      </c>
      <c r="Y11" s="175"/>
      <c r="Z11" s="175">
        <f t="shared" si="3"/>
        <v>3.7044800000000002</v>
      </c>
      <c r="AA11" s="176"/>
      <c r="AD11" s="37">
        <f t="shared" si="4"/>
        <v>0.42575797017000006</v>
      </c>
      <c r="AE11" s="37">
        <f t="shared" si="5"/>
        <v>0.39419927352000006</v>
      </c>
      <c r="AG11" s="40" t="b">
        <v>1</v>
      </c>
      <c r="AH11" s="37" t="str">
        <f t="shared" si="6"/>
        <v>0.93</v>
      </c>
      <c r="AI11" s="37" t="str">
        <f t="shared" si="7"/>
        <v>0.51</v>
      </c>
      <c r="AK11" s="37" t="e">
        <f>IF(共通条件・結果!$AA$7="８（Ⅵ）",0.01*(16+19*(2*R11+T11)/P11),0.01*(24+9*(3*R11+T11)/P11))</f>
        <v>#DIV/0!</v>
      </c>
      <c r="AL11" s="37" t="e">
        <f t="shared" si="8"/>
        <v>#DIV/0!</v>
      </c>
      <c r="AN11" s="37">
        <f>IF(共通条件・結果!$AA$7="８地域",H11,IF(AO11="FALSE",H11,IF(L11="風除室",1/((1/H11)+0.1),0.5*H11+0.5*(1/((1/H11)+AO11)))))</f>
        <v>1.6</v>
      </c>
      <c r="AO11" s="39" t="str">
        <f t="shared" si="1"/>
        <v>FALSE</v>
      </c>
    </row>
    <row r="12" spans="2:41" s="37" customFormat="1" ht="21.9" customHeight="1" x14ac:dyDescent="0.2">
      <c r="B12" s="185" t="s">
        <v>250</v>
      </c>
      <c r="C12" s="186"/>
      <c r="D12" s="207">
        <v>0.78</v>
      </c>
      <c r="E12" s="208"/>
      <c r="F12" s="209">
        <v>1.17</v>
      </c>
      <c r="G12" s="210"/>
      <c r="H12" s="190">
        <v>1.6</v>
      </c>
      <c r="I12" s="190"/>
      <c r="J12" s="190">
        <v>0.39</v>
      </c>
      <c r="K12" s="190"/>
      <c r="L12" s="211"/>
      <c r="M12" s="212"/>
      <c r="N12" s="213"/>
      <c r="O12" s="214"/>
      <c r="P12" s="206"/>
      <c r="Q12" s="178"/>
      <c r="R12" s="177"/>
      <c r="S12" s="178"/>
      <c r="T12" s="177"/>
      <c r="U12" s="179"/>
      <c r="V12" s="180">
        <f t="shared" ref="V12:V13" si="9">IF(D12="","",AD12)</f>
        <v>0.16781701014000003</v>
      </c>
      <c r="W12" s="181"/>
      <c r="X12" s="180">
        <f t="shared" ref="X12:X13" si="10">IF(D12="","",IF(ISERROR(AE12),"-",AE12))</f>
        <v>0.15537781584000002</v>
      </c>
      <c r="Y12" s="181"/>
      <c r="Z12" s="180">
        <f t="shared" ref="Z12:Z13" si="11">IF(D12="","",D12*F12*AN12)</f>
        <v>1.4601600000000001</v>
      </c>
      <c r="AA12" s="182"/>
      <c r="AD12" s="37">
        <f t="shared" ref="AD12:AD13" si="12">D12*F12*J12*$V$4*AH12</f>
        <v>0.16781701014000003</v>
      </c>
      <c r="AE12" s="37">
        <f t="shared" ref="AE12:AE13" si="13">D12*F12*J12*$X$4*AI12</f>
        <v>0.15537781584000002</v>
      </c>
      <c r="AG12" s="40" t="b">
        <v>1</v>
      </c>
      <c r="AH12" s="37" t="str">
        <f t="shared" ref="AH12:AH13" si="14">IF(AG12=TRUE,"0.93",IF(ISERROR(AK12),"エラー",IF(AK12&gt;0.93,"0.93",AK12)))</f>
        <v>0.93</v>
      </c>
      <c r="AI12" s="37" t="str">
        <f t="shared" ref="AI12:AI13" si="15">IF(AG12=TRUE,"0.51",IF(ISERROR(AL12),"エラー",IF(AL12&gt;0.72,"0.72",AL12)))</f>
        <v>0.51</v>
      </c>
      <c r="AK12" s="37" t="e">
        <f>IF(共通条件・結果!$AA$7="８（Ⅵ）",0.01*(16+19*(2*R12+T12)/P12),0.01*(24+9*(3*R12+T12)/P12))</f>
        <v>#DIV/0!</v>
      </c>
      <c r="AL12" s="37" t="e">
        <f t="shared" ref="AL12:AL13" si="16">0.01*(5+20*(3*R12+T12)/P12)</f>
        <v>#DIV/0!</v>
      </c>
      <c r="AN12" s="37">
        <f>IF(共通条件・結果!$AA$7="８地域",H12,IF(AO12="FALSE",H12,IF(L12="風除室",1/((1/H12)+0.1),0.5*H12+0.5*(1/((1/H12)+AO12)))))</f>
        <v>1.6</v>
      </c>
      <c r="AO12" s="95" t="str">
        <f t="shared" ref="AO12:AO13" si="17">IF(L12="","FALSE",IF(L12="雨戸",0.1,IF(L12="ｼｬｯﾀｰ",0.1,IF(L12="障子",0.18,IF(L12="風除室",0.1)))))</f>
        <v>FALSE</v>
      </c>
    </row>
    <row r="13" spans="2:41" s="37" customFormat="1" ht="21.9" customHeight="1" x14ac:dyDescent="0.2">
      <c r="B13" s="185" t="s">
        <v>251</v>
      </c>
      <c r="C13" s="186"/>
      <c r="D13" s="207">
        <v>0.78</v>
      </c>
      <c r="E13" s="208"/>
      <c r="F13" s="209">
        <v>1.17</v>
      </c>
      <c r="G13" s="210"/>
      <c r="H13" s="190">
        <v>1.6</v>
      </c>
      <c r="I13" s="190"/>
      <c r="J13" s="190">
        <v>0.39</v>
      </c>
      <c r="K13" s="190"/>
      <c r="L13" s="211"/>
      <c r="M13" s="212"/>
      <c r="N13" s="213"/>
      <c r="O13" s="214"/>
      <c r="P13" s="206"/>
      <c r="Q13" s="178"/>
      <c r="R13" s="177"/>
      <c r="S13" s="178"/>
      <c r="T13" s="177"/>
      <c r="U13" s="179"/>
      <c r="V13" s="180">
        <f t="shared" si="9"/>
        <v>0.16781701014000003</v>
      </c>
      <c r="W13" s="181"/>
      <c r="X13" s="180">
        <f t="shared" si="10"/>
        <v>0.15537781584000002</v>
      </c>
      <c r="Y13" s="181"/>
      <c r="Z13" s="180">
        <f t="shared" si="11"/>
        <v>1.4601600000000001</v>
      </c>
      <c r="AA13" s="182"/>
      <c r="AD13" s="37">
        <f t="shared" si="12"/>
        <v>0.16781701014000003</v>
      </c>
      <c r="AE13" s="37">
        <f t="shared" si="13"/>
        <v>0.15537781584000002</v>
      </c>
      <c r="AG13" s="40" t="b">
        <v>1</v>
      </c>
      <c r="AH13" s="37" t="str">
        <f t="shared" si="14"/>
        <v>0.93</v>
      </c>
      <c r="AI13" s="37" t="str">
        <f t="shared" si="15"/>
        <v>0.51</v>
      </c>
      <c r="AK13" s="37" t="e">
        <f>IF(共通条件・結果!$AA$7="８（Ⅵ）",0.01*(16+19*(2*R13+T13)/P13),0.01*(24+9*(3*R13+T13)/P13))</f>
        <v>#DIV/0!</v>
      </c>
      <c r="AL13" s="37" t="e">
        <f t="shared" si="16"/>
        <v>#DIV/0!</v>
      </c>
      <c r="AN13" s="37">
        <f>IF(共通条件・結果!$AA$7="８地域",H13,IF(AO13="FALSE",H13,IF(L13="風除室",1/((1/H13)+0.1),0.5*H13+0.5*(1/((1/H13)+AO13)))))</f>
        <v>1.6</v>
      </c>
      <c r="AO13" s="95" t="str">
        <f t="shared" si="17"/>
        <v>FALSE</v>
      </c>
    </row>
    <row r="14" spans="2:41" s="37" customFormat="1" ht="21.9" customHeight="1" x14ac:dyDescent="0.2">
      <c r="B14" s="185" t="s">
        <v>252</v>
      </c>
      <c r="C14" s="186"/>
      <c r="D14" s="207">
        <v>0.78</v>
      </c>
      <c r="E14" s="208"/>
      <c r="F14" s="209">
        <v>1.17</v>
      </c>
      <c r="G14" s="210"/>
      <c r="H14" s="190">
        <v>1.6</v>
      </c>
      <c r="I14" s="190"/>
      <c r="J14" s="190">
        <v>0.39</v>
      </c>
      <c r="K14" s="190"/>
      <c r="L14" s="203" t="s">
        <v>65</v>
      </c>
      <c r="M14" s="203"/>
      <c r="N14" s="213"/>
      <c r="O14" s="215"/>
      <c r="P14" s="206"/>
      <c r="Q14" s="178"/>
      <c r="R14" s="177"/>
      <c r="S14" s="178"/>
      <c r="T14" s="177"/>
      <c r="U14" s="179"/>
      <c r="V14" s="175">
        <f t="shared" si="2"/>
        <v>0.16781701014000003</v>
      </c>
      <c r="W14" s="175"/>
      <c r="X14" s="175">
        <f t="shared" si="0"/>
        <v>0.15537781584000002</v>
      </c>
      <c r="Y14" s="175"/>
      <c r="Z14" s="175">
        <f t="shared" si="3"/>
        <v>1.4601600000000001</v>
      </c>
      <c r="AA14" s="176"/>
      <c r="AD14" s="37">
        <f t="shared" si="4"/>
        <v>0.16781701014000003</v>
      </c>
      <c r="AE14" s="37">
        <f t="shared" si="5"/>
        <v>0.15537781584000002</v>
      </c>
      <c r="AG14" s="40" t="b">
        <v>1</v>
      </c>
      <c r="AH14" s="37" t="str">
        <f t="shared" si="6"/>
        <v>0.93</v>
      </c>
      <c r="AI14" s="37" t="str">
        <f t="shared" si="7"/>
        <v>0.51</v>
      </c>
      <c r="AK14" s="37" t="e">
        <f>IF(共通条件・結果!$AA$7="８（Ⅵ）",0.01*(16+19*(2*R14+T14)/P14),0.01*(24+9*(3*R14+T14)/P14))</f>
        <v>#DIV/0!</v>
      </c>
      <c r="AL14" s="37" t="e">
        <f t="shared" si="8"/>
        <v>#DIV/0!</v>
      </c>
      <c r="AN14" s="37">
        <f>IF(共通条件・結果!$AA$7="８地域",H14,IF(AO14="FALSE",H14,IF(L14="風除室",1/((1/H14)+0.1),0.5*H14+0.5*(1/((1/H14)+AO14)))))</f>
        <v>1.6</v>
      </c>
      <c r="AO14" s="39" t="b">
        <f t="shared" si="1"/>
        <v>0</v>
      </c>
    </row>
    <row r="15" spans="2:41" s="37" customFormat="1" ht="21.9" customHeight="1" x14ac:dyDescent="0.2">
      <c r="B15" s="185" t="s">
        <v>253</v>
      </c>
      <c r="C15" s="186"/>
      <c r="D15" s="187">
        <v>1.69</v>
      </c>
      <c r="E15" s="188"/>
      <c r="F15" s="188">
        <v>1.37</v>
      </c>
      <c r="G15" s="189"/>
      <c r="H15" s="190">
        <v>1.6</v>
      </c>
      <c r="I15" s="190"/>
      <c r="J15" s="190">
        <v>0.39</v>
      </c>
      <c r="K15" s="190"/>
      <c r="L15" s="203" t="s">
        <v>65</v>
      </c>
      <c r="M15" s="203"/>
      <c r="N15" s="213"/>
      <c r="O15" s="215"/>
      <c r="P15" s="206"/>
      <c r="Q15" s="178"/>
      <c r="R15" s="177"/>
      <c r="S15" s="178"/>
      <c r="T15" s="177"/>
      <c r="U15" s="179"/>
      <c r="V15" s="180">
        <f t="shared" si="2"/>
        <v>0.42575797017000006</v>
      </c>
      <c r="W15" s="181"/>
      <c r="X15" s="175">
        <f t="shared" si="0"/>
        <v>0.39419927352000006</v>
      </c>
      <c r="Y15" s="175"/>
      <c r="Z15" s="175">
        <f t="shared" si="3"/>
        <v>3.7044800000000002</v>
      </c>
      <c r="AA15" s="176"/>
      <c r="AD15" s="37">
        <f t="shared" si="4"/>
        <v>0.42575797017000006</v>
      </c>
      <c r="AE15" s="37">
        <f t="shared" si="5"/>
        <v>0.39419927352000006</v>
      </c>
      <c r="AG15" s="40" t="b">
        <v>1</v>
      </c>
      <c r="AH15" s="37" t="str">
        <f t="shared" si="6"/>
        <v>0.93</v>
      </c>
      <c r="AI15" s="37" t="str">
        <f t="shared" si="7"/>
        <v>0.51</v>
      </c>
      <c r="AK15" s="37" t="e">
        <f>IF(共通条件・結果!$AA$7="８（Ⅵ）",0.01*(16+19*(2*R15+T15)/P15),0.01*(24+9*(3*R15+T15)/P15))</f>
        <v>#DIV/0!</v>
      </c>
      <c r="AL15" s="37" t="e">
        <f t="shared" si="8"/>
        <v>#DIV/0!</v>
      </c>
      <c r="AN15" s="37">
        <f>IF(共通条件・結果!$AA$7="８地域",H15,IF(AO15="FALSE",H15,IF(L15="風除室",1/((1/H15)+0.1),0.5*H15+0.5*(1/((1/H15)+AO15)))))</f>
        <v>1.6</v>
      </c>
      <c r="AO15" s="39" t="b">
        <f t="shared" si="1"/>
        <v>0</v>
      </c>
    </row>
    <row r="16" spans="2:41" s="37" customFormat="1" ht="21.9" customHeight="1" x14ac:dyDescent="0.2">
      <c r="B16" s="185"/>
      <c r="C16" s="186"/>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IF(共通条件・結果!$AA$7="８（Ⅵ）",0.01*(16+19*(2*R16+T16)/P16),0.01*(24+9*(3*R16+T16)/P16))</f>
        <v>#DIV/0!</v>
      </c>
      <c r="AL16" s="37" t="e">
        <f t="shared" si="8"/>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IF(共通条件・結果!$AA$7="８（Ⅵ）",0.01*(16+19*(2*R17+T17)/P17),0.01*(24+9*(3*R17+T17)/P17))</f>
        <v>#DIV/0!</v>
      </c>
      <c r="AL17" s="37" t="e">
        <f t="shared" si="8"/>
        <v>#DIV/0!</v>
      </c>
      <c r="AN17" s="37" t="e">
        <f>IF(共通条件・結果!$AA$7="８地域",H17,IF(AO17="FALSE",H17,IF(L17="風除室",1/((1/H17)+0.1),0.5*H17+0.5*(1/((1/H17)+AO17)))))</f>
        <v>#DIV/0!</v>
      </c>
      <c r="AO17" s="39" t="b">
        <f t="shared" si="1"/>
        <v>0</v>
      </c>
    </row>
    <row r="18" spans="2:41" s="37" customFormat="1" ht="21.9" customHeight="1" x14ac:dyDescent="0.2">
      <c r="B18" s="185"/>
      <c r="C18" s="186"/>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IF(共通条件・結果!$AA$7="８（Ⅵ）",0.01*(16+19*(2*R18+T18)/P18),0.01*(24+9*(3*R18+T18)/P18))</f>
        <v>#DIV/0!</v>
      </c>
      <c r="AL18" s="37" t="e">
        <f t="shared" si="8"/>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IF(共通条件・結果!$AA$7="８（Ⅵ）",0.01*(16+19*(2*R19+T19)/P19),0.01*(24+9*(3*R19+T19)/P19))</f>
        <v>#DIV/0!</v>
      </c>
      <c r="AL19" s="37" t="e">
        <f t="shared" si="8"/>
        <v>#DIV/0!</v>
      </c>
      <c r="AN19" s="37" t="e">
        <f>IF(共通条件・結果!$AA$7="８地域",H19,IF(AO19="FALSE",H19,IF(L19="風除室",1/((1/H19)+0.1),0.5*H19+0.5*(1/((1/H19)+AO19)))))</f>
        <v>#DIV/0!</v>
      </c>
      <c r="AO19" s="39" t="b">
        <f t="shared" si="1"/>
        <v>0</v>
      </c>
    </row>
    <row r="20" spans="2:41" s="37" customFormat="1" ht="21.9" customHeight="1" thickBot="1" x14ac:dyDescent="0.25">
      <c r="B20" s="285" t="s">
        <v>126</v>
      </c>
      <c r="C20" s="286"/>
      <c r="D20" s="286"/>
      <c r="E20" s="286"/>
      <c r="F20" s="286"/>
      <c r="G20" s="286"/>
      <c r="H20" s="286"/>
      <c r="I20" s="286"/>
      <c r="J20" s="286"/>
      <c r="K20" s="286"/>
      <c r="L20" s="286"/>
      <c r="M20" s="286"/>
      <c r="N20" s="286"/>
      <c r="O20" s="286"/>
      <c r="P20" s="286"/>
      <c r="Q20" s="286"/>
      <c r="R20" s="286"/>
      <c r="S20" s="286"/>
      <c r="T20" s="286"/>
      <c r="U20" s="286"/>
      <c r="V20" s="287">
        <f>SUM(V8:W19)</f>
        <v>3.0999622984199995</v>
      </c>
      <c r="W20" s="287"/>
      <c r="X20" s="287">
        <f>SUM(X8:Y19)</f>
        <v>2.8701820555200004</v>
      </c>
      <c r="Y20" s="287"/>
      <c r="Z20" s="287">
        <f>SUM(Z8:AA19)</f>
        <v>26.972480000000008</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146</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t="s">
        <v>255</v>
      </c>
      <c r="K33" s="184"/>
      <c r="L33" s="316">
        <f>10.8*(2.4+0.438+2.4+0.043+0.105+0.02)</f>
        <v>58.384799999999998</v>
      </c>
      <c r="M33" s="317"/>
      <c r="N33" s="316">
        <f>16.8578</f>
        <v>16.857800000000001</v>
      </c>
      <c r="O33" s="317"/>
      <c r="P33" s="318">
        <f>IF(L33="","",L33-N33)</f>
        <v>41.527000000000001</v>
      </c>
      <c r="Q33" s="319"/>
      <c r="R33" s="267">
        <v>0.20618729888324211</v>
      </c>
      <c r="S33" s="267"/>
      <c r="T33" s="320"/>
      <c r="U33" s="320"/>
      <c r="V33" s="175">
        <f>IF(P33="","",IF(AD33=TRUE,0,P33*R33*0.034*$V$4))</f>
        <v>0.14759761624296713</v>
      </c>
      <c r="W33" s="175"/>
      <c r="X33" s="180">
        <f>IF(P33="","",IF(ISERROR(P33*R33*0.034*$X$4),"-",IF(AD33=TRUE,0,P33*R33*0.034*$X$4)))</f>
        <v>0.2491983422169228</v>
      </c>
      <c r="Y33" s="181"/>
      <c r="Z33" s="321">
        <f>IF(R33="","",IF(AD33=TRUE,0.7*R33*P33,R33*P33))</f>
        <v>8.5623399607243957</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t="s">
        <v>261</v>
      </c>
      <c r="K34" s="205"/>
      <c r="L34" s="207">
        <f>0.5*10.8</f>
        <v>5.4</v>
      </c>
      <c r="M34" s="210"/>
      <c r="N34" s="207">
        <v>0</v>
      </c>
      <c r="O34" s="210"/>
      <c r="P34" s="313">
        <f t="shared" ref="P34:P35" si="18">IF(L34="","",L34-N34)</f>
        <v>5.4</v>
      </c>
      <c r="Q34" s="314"/>
      <c r="R34" s="207">
        <v>0.26183640835258143</v>
      </c>
      <c r="S34" s="210"/>
      <c r="T34" s="352"/>
      <c r="U34" s="353"/>
      <c r="V34" s="180">
        <f t="shared" ref="V34:V35" si="19">IF(P34="","",IF(AD34=TRUE,0,P34*R34*0.034*$V$4))</f>
        <v>2.4373094438781717E-2</v>
      </c>
      <c r="W34" s="181"/>
      <c r="X34" s="180">
        <f t="shared" ref="X34:X35" si="20">IF(P34="","",IF(ISERROR(P34*R34*0.034*$X$4),"-",IF(AD34=TRUE,0,P34*R34*0.034*$X$4)))</f>
        <v>4.1150628874945069E-2</v>
      </c>
      <c r="Y34" s="181"/>
      <c r="Z34" s="180">
        <f t="shared" ref="Z34:Z35" si="21">IF(R34="","",IF(AD34=TRUE,0.7*R34*P34,R34*P34))</f>
        <v>1.4139166051039398</v>
      </c>
      <c r="AA34" s="182"/>
      <c r="AD34" s="40" t="b">
        <v>0</v>
      </c>
      <c r="AE34" s="40">
        <f t="shared" ref="AE34:AE35" si="22">IF(AD34=TRUE,0.7,1)</f>
        <v>1</v>
      </c>
      <c r="AF34" s="40" t="str">
        <f t="shared" ref="AF34:AF35" si="23">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18"/>
        <v/>
      </c>
      <c r="Q35" s="314"/>
      <c r="R35" s="207"/>
      <c r="S35" s="210"/>
      <c r="T35" s="352"/>
      <c r="U35" s="353"/>
      <c r="V35" s="180" t="str">
        <f t="shared" si="19"/>
        <v/>
      </c>
      <c r="W35" s="181"/>
      <c r="X35" s="180" t="str">
        <f t="shared" si="20"/>
        <v/>
      </c>
      <c r="Y35" s="181"/>
      <c r="Z35" s="180" t="str">
        <f t="shared" si="21"/>
        <v/>
      </c>
      <c r="AA35" s="182"/>
      <c r="AD35" s="40" t="b">
        <v>0</v>
      </c>
      <c r="AE35" s="40">
        <f t="shared" si="22"/>
        <v>1</v>
      </c>
      <c r="AF35" s="40" t="str">
        <f t="shared" si="23"/>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127</v>
      </c>
      <c r="K38" s="286"/>
      <c r="L38" s="286"/>
      <c r="M38" s="286"/>
      <c r="N38" s="286"/>
      <c r="O38" s="286"/>
      <c r="P38" s="286"/>
      <c r="Q38" s="286"/>
      <c r="R38" s="286"/>
      <c r="S38" s="286"/>
      <c r="T38" s="286"/>
      <c r="U38" s="312"/>
      <c r="V38" s="287">
        <f>SUM(V33:W37)</f>
        <v>0.17197071068174885</v>
      </c>
      <c r="W38" s="287"/>
      <c r="X38" s="287">
        <f>SUM(X33:Y37)</f>
        <v>0.29034897109186786</v>
      </c>
      <c r="Y38" s="287"/>
      <c r="Z38" s="287">
        <f>SUM(Z33:AA37)</f>
        <v>9.9762565658283364</v>
      </c>
      <c r="AA38" s="288"/>
    </row>
    <row r="39" spans="2:32" s="37" customFormat="1" ht="9.9" customHeight="1" x14ac:dyDescent="0.2"/>
    <row r="40" spans="2:32" s="37" customFormat="1" ht="21.9" customHeight="1" thickBot="1" x14ac:dyDescent="0.25">
      <c r="B40" s="38" t="s">
        <v>128</v>
      </c>
    </row>
    <row r="41" spans="2:32" s="37" customFormat="1" ht="21.9" customHeight="1" x14ac:dyDescent="0.2">
      <c r="B41" s="291" t="s">
        <v>105</v>
      </c>
      <c r="C41" s="292"/>
      <c r="D41" s="305" t="s">
        <v>56</v>
      </c>
      <c r="E41" s="306"/>
      <c r="F41" s="306"/>
      <c r="G41" s="306"/>
      <c r="H41" s="306"/>
      <c r="I41" s="306"/>
      <c r="J41" s="307"/>
      <c r="K41" s="42"/>
      <c r="L41" s="301">
        <f>Q41+U41+Y41</f>
        <v>63.784799999999997</v>
      </c>
      <c r="M41" s="301"/>
      <c r="N41" s="301"/>
      <c r="O41" s="42" t="s">
        <v>24</v>
      </c>
      <c r="P41" s="43" t="s">
        <v>23</v>
      </c>
      <c r="Q41" s="302">
        <f>D8*F8+D9*F9+D10*F10+D11*F11+D12*F12+D13*F13+D14*F14+D15*F15+D16*F16+D17*F17+D18*F18+D19*F19</f>
        <v>16.857799999999997</v>
      </c>
      <c r="R41" s="302"/>
      <c r="S41" s="44" t="s">
        <v>25</v>
      </c>
      <c r="T41" s="44" t="s">
        <v>22</v>
      </c>
      <c r="U41" s="303">
        <f>N25*P25+N26*P26+N27*P27</f>
        <v>0</v>
      </c>
      <c r="V41" s="303"/>
      <c r="W41" s="44" t="s">
        <v>25</v>
      </c>
      <c r="X41" s="44" t="s">
        <v>1</v>
      </c>
      <c r="Y41" s="304">
        <f>SUM(P33:Q37)</f>
        <v>46.927</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3.2719330091017484</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3.160531026611868</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36.948736565828341</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deKcOS8PQnLRXbFzx3awdeFlf8toZzAQwcYsGVpUOSwPDmqhoZPq0wVmmewskfBs1UtJI93Ya5z6cW5/M35gCA==" saltValue="JmpLiliZYWG7A3ihtgOlJw==" spinCount="100000" sheet="1" objects="1" scenarios="1" selectLockedCells="1"/>
  <mergeCells count="293">
    <mergeCell ref="L34:M34"/>
    <mergeCell ref="L35:M35"/>
    <mergeCell ref="N34:O34"/>
    <mergeCell ref="N35:O35"/>
    <mergeCell ref="P34:Q34"/>
    <mergeCell ref="P35:Q35"/>
    <mergeCell ref="R34:S34"/>
    <mergeCell ref="R35:S35"/>
    <mergeCell ref="V34:W34"/>
    <mergeCell ref="V35:W35"/>
    <mergeCell ref="T34:U34"/>
    <mergeCell ref="T35:U35"/>
    <mergeCell ref="V12:W12"/>
    <mergeCell ref="V13:W13"/>
    <mergeCell ref="X12:Y12"/>
    <mergeCell ref="X13:Y13"/>
    <mergeCell ref="Z12:AA12"/>
    <mergeCell ref="Z13:AA13"/>
    <mergeCell ref="J26:M26"/>
    <mergeCell ref="N26:O26"/>
    <mergeCell ref="P26:Q26"/>
    <mergeCell ref="R26:S26"/>
    <mergeCell ref="T26:U26"/>
    <mergeCell ref="V26:W26"/>
    <mergeCell ref="X26:Y26"/>
    <mergeCell ref="Z26:AA26"/>
    <mergeCell ref="N12:O12"/>
    <mergeCell ref="N13:O13"/>
    <mergeCell ref="L12:M12"/>
    <mergeCell ref="L13:M13"/>
    <mergeCell ref="P12:Q12"/>
    <mergeCell ref="P13:Q13"/>
    <mergeCell ref="R12:S12"/>
    <mergeCell ref="R13:S13"/>
    <mergeCell ref="T12:U12"/>
    <mergeCell ref="T13:U13"/>
    <mergeCell ref="B12:C12"/>
    <mergeCell ref="B13:C13"/>
    <mergeCell ref="D12:E12"/>
    <mergeCell ref="D13:E13"/>
    <mergeCell ref="F12:G12"/>
    <mergeCell ref="F13:G13"/>
    <mergeCell ref="H12:I12"/>
    <mergeCell ref="H13:I13"/>
    <mergeCell ref="J12:K12"/>
    <mergeCell ref="J13:K13"/>
    <mergeCell ref="J34:K34"/>
    <mergeCell ref="J35:K35"/>
    <mergeCell ref="J27:M27"/>
    <mergeCell ref="J31:K32"/>
    <mergeCell ref="J28:U28"/>
    <mergeCell ref="J38:U38"/>
    <mergeCell ref="D6:E7"/>
    <mergeCell ref="F6:G7"/>
    <mergeCell ref="N6:O7"/>
    <mergeCell ref="P6:U6"/>
    <mergeCell ref="N8:O8"/>
    <mergeCell ref="P8:Q8"/>
    <mergeCell ref="T10:U10"/>
    <mergeCell ref="T14:U14"/>
    <mergeCell ref="T16:U16"/>
    <mergeCell ref="N25:O25"/>
    <mergeCell ref="P25:Q25"/>
    <mergeCell ref="R25:S25"/>
    <mergeCell ref="T25:U25"/>
    <mergeCell ref="J23:M24"/>
    <mergeCell ref="J25:M25"/>
    <mergeCell ref="L36:M36"/>
    <mergeCell ref="N36:O36"/>
    <mergeCell ref="P36:Q36"/>
    <mergeCell ref="J36:K36"/>
    <mergeCell ref="J33:K33"/>
    <mergeCell ref="B2:AA2"/>
    <mergeCell ref="R4:U4"/>
    <mergeCell ref="V4:W4"/>
    <mergeCell ref="X4:Y4"/>
    <mergeCell ref="B5:C7"/>
    <mergeCell ref="D5:G5"/>
    <mergeCell ref="H5:I7"/>
    <mergeCell ref="J5:K7"/>
    <mergeCell ref="L5:M7"/>
    <mergeCell ref="N5:U5"/>
    <mergeCell ref="J8:K8"/>
    <mergeCell ref="L8:M8"/>
    <mergeCell ref="R8:S8"/>
    <mergeCell ref="T8:U8"/>
    <mergeCell ref="V8:W8"/>
    <mergeCell ref="J10:K10"/>
    <mergeCell ref="L10:M10"/>
    <mergeCell ref="N10:O10"/>
    <mergeCell ref="P10:Q10"/>
    <mergeCell ref="R10:S10"/>
    <mergeCell ref="X8:Y8"/>
    <mergeCell ref="Z8:AA8"/>
    <mergeCell ref="AD6:AE6"/>
    <mergeCell ref="AH6:AI6"/>
    <mergeCell ref="AK6:AL6"/>
    <mergeCell ref="AN6:AO6"/>
    <mergeCell ref="P7:Q7"/>
    <mergeCell ref="R7:S7"/>
    <mergeCell ref="T7:U7"/>
    <mergeCell ref="V5:W7"/>
    <mergeCell ref="X5:Y7"/>
    <mergeCell ref="Z5:AA7"/>
    <mergeCell ref="B9:C9"/>
    <mergeCell ref="D9:E9"/>
    <mergeCell ref="F9:G9"/>
    <mergeCell ref="H9:I9"/>
    <mergeCell ref="J9:K9"/>
    <mergeCell ref="L9:M9"/>
    <mergeCell ref="N9:O9"/>
    <mergeCell ref="P9:Q9"/>
    <mergeCell ref="R9:S9"/>
    <mergeCell ref="T9:U9"/>
    <mergeCell ref="V9:W9"/>
    <mergeCell ref="X9:Y9"/>
    <mergeCell ref="Z9:AA9"/>
    <mergeCell ref="B8:C8"/>
    <mergeCell ref="D8:E8"/>
    <mergeCell ref="F8:G8"/>
    <mergeCell ref="H8:I8"/>
    <mergeCell ref="L14:M14"/>
    <mergeCell ref="N14:O14"/>
    <mergeCell ref="P14:Q14"/>
    <mergeCell ref="R14:S14"/>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N16:O16"/>
    <mergeCell ref="P16:Q16"/>
    <mergeCell ref="R16:S16"/>
    <mergeCell ref="V14:W14"/>
    <mergeCell ref="X14:Y14"/>
    <mergeCell ref="Z14:AA14"/>
    <mergeCell ref="B15:C15"/>
    <mergeCell ref="D15:E15"/>
    <mergeCell ref="F15:G15"/>
    <mergeCell ref="H15:I15"/>
    <mergeCell ref="J15:K15"/>
    <mergeCell ref="L15:M15"/>
    <mergeCell ref="N15:O15"/>
    <mergeCell ref="P15:Q15"/>
    <mergeCell ref="R15:S15"/>
    <mergeCell ref="T15:U15"/>
    <mergeCell ref="V15:W15"/>
    <mergeCell ref="X15:Y15"/>
    <mergeCell ref="Z15:AA15"/>
    <mergeCell ref="B14:C14"/>
    <mergeCell ref="D14:E14"/>
    <mergeCell ref="F14:G14"/>
    <mergeCell ref="H14:I14"/>
    <mergeCell ref="J14:K14"/>
    <mergeCell ref="Z18:AA18"/>
    <mergeCell ref="X18:Y18"/>
    <mergeCell ref="V16:W16"/>
    <mergeCell ref="X16:Y16"/>
    <mergeCell ref="Z16:AA16"/>
    <mergeCell ref="B17:C17"/>
    <mergeCell ref="D17:E17"/>
    <mergeCell ref="F17:G17"/>
    <mergeCell ref="H17:I17"/>
    <mergeCell ref="J17:K17"/>
    <mergeCell ref="L17:M17"/>
    <mergeCell ref="N17:O17"/>
    <mergeCell ref="P17:Q17"/>
    <mergeCell ref="R17:S17"/>
    <mergeCell ref="T17:U17"/>
    <mergeCell ref="V17:W17"/>
    <mergeCell ref="X17:Y17"/>
    <mergeCell ref="Z17:AA17"/>
    <mergeCell ref="B16:C16"/>
    <mergeCell ref="D16:E16"/>
    <mergeCell ref="F16:G16"/>
    <mergeCell ref="H16:I16"/>
    <mergeCell ref="J16:K16"/>
    <mergeCell ref="L16:M16"/>
    <mergeCell ref="R18:S18"/>
    <mergeCell ref="T18:U18"/>
    <mergeCell ref="V18:W18"/>
    <mergeCell ref="B18:C18"/>
    <mergeCell ref="D18:E18"/>
    <mergeCell ref="F18:G18"/>
    <mergeCell ref="H18:I18"/>
    <mergeCell ref="J18:K18"/>
    <mergeCell ref="L18:M18"/>
    <mergeCell ref="N18:O18"/>
    <mergeCell ref="P18:Q18"/>
    <mergeCell ref="X19:Y19"/>
    <mergeCell ref="Z19:AA19"/>
    <mergeCell ref="B20:U20"/>
    <mergeCell ref="V20:W20"/>
    <mergeCell ref="X20:Y20"/>
    <mergeCell ref="Z20:AA20"/>
    <mergeCell ref="L19:M19"/>
    <mergeCell ref="N19:O19"/>
    <mergeCell ref="P19:Q19"/>
    <mergeCell ref="R19:S19"/>
    <mergeCell ref="B19:C19"/>
    <mergeCell ref="D19:E19"/>
    <mergeCell ref="F19:G19"/>
    <mergeCell ref="H19:I19"/>
    <mergeCell ref="J19:K19"/>
    <mergeCell ref="T19:U19"/>
    <mergeCell ref="V19:W19"/>
    <mergeCell ref="AN21:AO21"/>
    <mergeCell ref="N23:Q23"/>
    <mergeCell ref="R23:S24"/>
    <mergeCell ref="T23:U24"/>
    <mergeCell ref="V23:W24"/>
    <mergeCell ref="X23:Y24"/>
    <mergeCell ref="Z23:AA24"/>
    <mergeCell ref="AN23:AO23"/>
    <mergeCell ref="N24:O24"/>
    <mergeCell ref="P24:Q24"/>
    <mergeCell ref="V25:W25"/>
    <mergeCell ref="X25:Y25"/>
    <mergeCell ref="Z25:AA25"/>
    <mergeCell ref="N27:O27"/>
    <mergeCell ref="P27:Q27"/>
    <mergeCell ref="R27:S27"/>
    <mergeCell ref="T27:U27"/>
    <mergeCell ref="V27:W27"/>
    <mergeCell ref="X27:Y27"/>
    <mergeCell ref="Z27:AA27"/>
    <mergeCell ref="V28:W28"/>
    <mergeCell ref="X28:Y28"/>
    <mergeCell ref="Z28:AA28"/>
    <mergeCell ref="L31:M32"/>
    <mergeCell ref="N31:O32"/>
    <mergeCell ref="P31:Q32"/>
    <mergeCell ref="R31:S32"/>
    <mergeCell ref="T31:U32"/>
    <mergeCell ref="L33:M33"/>
    <mergeCell ref="N33:O33"/>
    <mergeCell ref="P33:Q33"/>
    <mergeCell ref="R33:S33"/>
    <mergeCell ref="T33:U33"/>
    <mergeCell ref="V33:W33"/>
    <mergeCell ref="X36:Y36"/>
    <mergeCell ref="Z36:AA36"/>
    <mergeCell ref="V31:W32"/>
    <mergeCell ref="X31:Y32"/>
    <mergeCell ref="Z31:AA32"/>
    <mergeCell ref="X33:Y33"/>
    <mergeCell ref="R37:S37"/>
    <mergeCell ref="T37:U37"/>
    <mergeCell ref="V37:W37"/>
    <mergeCell ref="Z33:AA33"/>
    <mergeCell ref="R36:S36"/>
    <mergeCell ref="T36:U36"/>
    <mergeCell ref="V36:W36"/>
    <mergeCell ref="X37:Y37"/>
    <mergeCell ref="Z37:AA37"/>
    <mergeCell ref="X34:Y34"/>
    <mergeCell ref="X35:Y35"/>
    <mergeCell ref="Z34:AA34"/>
    <mergeCell ref="Z35:AA35"/>
    <mergeCell ref="V38:W38"/>
    <mergeCell ref="X38:Y38"/>
    <mergeCell ref="Z38:AA38"/>
    <mergeCell ref="L37:M37"/>
    <mergeCell ref="N37:O37"/>
    <mergeCell ref="P37:Q37"/>
    <mergeCell ref="J37:K37"/>
    <mergeCell ref="D44:J44"/>
    <mergeCell ref="W44:Y44"/>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137" priority="51" stopIfTrue="1">
      <formula>$V$20=0</formula>
    </cfRule>
  </conditionalFormatting>
  <conditionalFormatting sqref="X20:Y20">
    <cfRule type="expression" dxfId="136" priority="50" stopIfTrue="1">
      <formula>$X$20=0</formula>
    </cfRule>
  </conditionalFormatting>
  <conditionalFormatting sqref="Z20:AA20">
    <cfRule type="expression" dxfId="135" priority="49" stopIfTrue="1">
      <formula>$Z$20=0</formula>
    </cfRule>
  </conditionalFormatting>
  <conditionalFormatting sqref="V28:W28">
    <cfRule type="expression" dxfId="134" priority="48" stopIfTrue="1">
      <formula>$V$28:$W$28=0</formula>
    </cfRule>
  </conditionalFormatting>
  <conditionalFormatting sqref="V38:W38">
    <cfRule type="expression" dxfId="133" priority="47" stopIfTrue="1">
      <formula>$V$38:$W$38=0</formula>
    </cfRule>
  </conditionalFormatting>
  <conditionalFormatting sqref="Y41:Z41">
    <cfRule type="expression" dxfId="132" priority="46" stopIfTrue="1">
      <formula>$Y$41=0</formula>
    </cfRule>
  </conditionalFormatting>
  <conditionalFormatting sqref="Q41:R41">
    <cfRule type="expression" dxfId="131" priority="45" stopIfTrue="1">
      <formula>$Q$41=0</formula>
    </cfRule>
  </conditionalFormatting>
  <conditionalFormatting sqref="U41:V41">
    <cfRule type="expression" dxfId="130" priority="44" stopIfTrue="1">
      <formula>$U$41=0</formula>
    </cfRule>
  </conditionalFormatting>
  <conditionalFormatting sqref="L41:N41">
    <cfRule type="expression" dxfId="129" priority="43" stopIfTrue="1">
      <formula>$L$41=0</formula>
    </cfRule>
  </conditionalFormatting>
  <conditionalFormatting sqref="X8:Y8">
    <cfRule type="expression" dxfId="128" priority="41" stopIfTrue="1">
      <formula>#VALUE!</formula>
    </cfRule>
    <cfRule type="expression" dxfId="127" priority="42" stopIfTrue="1">
      <formula>#VALUE!</formula>
    </cfRule>
  </conditionalFormatting>
  <conditionalFormatting sqref="X19:Y19">
    <cfRule type="expression" dxfId="126" priority="40" stopIfTrue="1">
      <formula>#VALUE!</formula>
    </cfRule>
  </conditionalFormatting>
  <conditionalFormatting sqref="X8:Y8">
    <cfRule type="expression" dxfId="125" priority="28" stopIfTrue="1">
      <formula>#VALUE!</formula>
    </cfRule>
    <cfRule type="expression" dxfId="124" priority="29" stopIfTrue="1">
      <formula>#VALUE!</formula>
    </cfRule>
  </conditionalFormatting>
  <conditionalFormatting sqref="X19:Y19">
    <cfRule type="expression" dxfId="123" priority="27" stopIfTrue="1">
      <formula>#VALUE!</formula>
    </cfRule>
  </conditionalFormatting>
  <conditionalFormatting sqref="X28:Y28">
    <cfRule type="expression" dxfId="122" priority="26" stopIfTrue="1">
      <formula>$X$28:$Y$28=0</formula>
    </cfRule>
  </conditionalFormatting>
  <conditionalFormatting sqref="Z28:AA28">
    <cfRule type="expression" dxfId="121" priority="25" stopIfTrue="1">
      <formula>$Z$28:$AA$28=0</formula>
    </cfRule>
  </conditionalFormatting>
  <conditionalFormatting sqref="X38:Y38">
    <cfRule type="expression" dxfId="120" priority="24" stopIfTrue="1">
      <formula>$X$38:$Y$38=0</formula>
    </cfRule>
  </conditionalFormatting>
  <conditionalFormatting sqref="Z38:AA38">
    <cfRule type="expression" dxfId="119" priority="23" stopIfTrue="1">
      <formula>$Z$38:$AA$38=0</formula>
    </cfRule>
  </conditionalFormatting>
  <conditionalFormatting sqref="P8:U8">
    <cfRule type="expression" dxfId="118" priority="12" stopIfTrue="1">
      <formula>$AG$8=TRUE</formula>
    </cfRule>
  </conditionalFormatting>
  <conditionalFormatting sqref="P15:U15">
    <cfRule type="expression" dxfId="117" priority="11" stopIfTrue="1">
      <formula>$AG$15=TRUE</formula>
    </cfRule>
  </conditionalFormatting>
  <conditionalFormatting sqref="P16:U16">
    <cfRule type="expression" dxfId="116" priority="10" stopIfTrue="1">
      <formula>$AG$16=TRUE</formula>
    </cfRule>
  </conditionalFormatting>
  <conditionalFormatting sqref="P17:U17">
    <cfRule type="expression" dxfId="115" priority="9" stopIfTrue="1">
      <formula>$AG$17=TRUE</formula>
    </cfRule>
  </conditionalFormatting>
  <conditionalFormatting sqref="P18:U18">
    <cfRule type="expression" dxfId="114" priority="8" stopIfTrue="1">
      <formula>$AG$18=TRUE</formula>
    </cfRule>
  </conditionalFormatting>
  <conditionalFormatting sqref="P19:U19">
    <cfRule type="expression" dxfId="113" priority="7" stopIfTrue="1">
      <formula>$AG$19=TRUE</formula>
    </cfRule>
  </conditionalFormatting>
  <conditionalFormatting sqref="P10:U10">
    <cfRule type="expression" dxfId="112" priority="6" stopIfTrue="1">
      <formula>$AG$10=TRUE</formula>
    </cfRule>
  </conditionalFormatting>
  <conditionalFormatting sqref="P11:U11">
    <cfRule type="expression" dxfId="111" priority="5" stopIfTrue="1">
      <formula>$AG$11=TRUE</formula>
    </cfRule>
  </conditionalFormatting>
  <conditionalFormatting sqref="P14:U14">
    <cfRule type="expression" dxfId="110" priority="4" stopIfTrue="1">
      <formula>$AG$14=TRUE</formula>
    </cfRule>
  </conditionalFormatting>
  <conditionalFormatting sqref="P9:U9">
    <cfRule type="expression" dxfId="109" priority="3" stopIfTrue="1">
      <formula>$AG$9=TRUE</formula>
    </cfRule>
  </conditionalFormatting>
  <conditionalFormatting sqref="P12:U12">
    <cfRule type="expression" dxfId="108" priority="2">
      <formula>$AG$12=TRUE</formula>
    </cfRule>
  </conditionalFormatting>
  <conditionalFormatting sqref="P13:U13">
    <cfRule type="expression" dxfId="107" priority="1">
      <formula>$AG$13=TRUE</formula>
    </cfRule>
  </conditionalFormatting>
  <dataValidations count="1">
    <dataValidation type="list" allowBlank="1" showInputMessage="1" showErrorMessage="1" sqref="M14:M19 L8:L19 M8:M11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101381"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101382"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101383"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101384"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101385"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101386"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101398" r:id="rId14" name="Check Box 22">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101399" r:id="rId15" name="Check Box 23">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101400" r:id="rId16" name="Check Box 24">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101409" r:id="rId17" name="Check Box 33">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101410" r:id="rId18" name="Check Box 34">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101411" r:id="rId19" name="Check Box 35">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101412" r:id="rId20" name="Check Box 36">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AO106"/>
  <sheetViews>
    <sheetView showGridLines="0" view="pageBreakPreview" topLeftCell="A22" zoomScaleNormal="100" zoomScaleSheetLayoutView="100" workbookViewId="0">
      <selection activeCell="B8" sqref="B8:C8"/>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113</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357">
        <f>IF(共通条件・結果!AA7="８地域","0.517",IF(共通条件・結果!AA7="７地域",0.479,IF(共通条件・結果!AA7="６地域",0.491,IF(共通条件・結果!AA7="５地域",0.52,IF(共通条件・結果!AA7="４地域",0.481,IF(共通条件・結果!AA7="３地域",0.55,IF(共通条件・結果!AA7="２地域",0.548,IF(共通条件・結果!AA7="１地域",0.526))))))))</f>
        <v>0.54800000000000004</v>
      </c>
      <c r="W4" s="358"/>
      <c r="X4" s="357">
        <f>IF(共通条件・結果!AA7="８地域","-",IF(共通条件・結果!AA7="７地域",0.848,IF(共通条件・結果!AA7="６地域",0.763,IF(共通条件・結果!AA7="５地域",0.815,IF(共通条件・結果!AA7="４地域",0.723,IF(共通条件・結果!AA7="３地域",0.75,IF(共通条件・結果!AA7="２地域",0.753,IF(共通条件・結果!AA7="１地域",0.79))))))))</f>
        <v>0.753</v>
      </c>
      <c r="Y4" s="358"/>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c r="C8" s="263"/>
      <c r="D8" s="264"/>
      <c r="E8" s="265"/>
      <c r="F8" s="265"/>
      <c r="G8" s="266"/>
      <c r="H8" s="267"/>
      <c r="I8" s="267"/>
      <c r="J8" s="267"/>
      <c r="K8" s="267"/>
      <c r="L8" s="268"/>
      <c r="M8" s="268"/>
      <c r="N8" s="251"/>
      <c r="O8" s="252"/>
      <c r="P8" s="257"/>
      <c r="Q8" s="258"/>
      <c r="R8" s="259"/>
      <c r="S8" s="260"/>
      <c r="T8" s="261"/>
      <c r="U8" s="257"/>
      <c r="V8" s="256" t="str">
        <f>IF(D8="","",AD8)</f>
        <v/>
      </c>
      <c r="W8" s="256"/>
      <c r="X8" s="256" t="str">
        <f t="shared" ref="X8:X19" si="0">IF(D8="","",IF(ISERROR(AE8),"-",AE8))</f>
        <v/>
      </c>
      <c r="Y8" s="256"/>
      <c r="Z8" s="256" t="str">
        <f>IF(D8="","",D8*F8*AN8)</f>
        <v/>
      </c>
      <c r="AA8" s="262"/>
      <c r="AD8" s="37" t="e">
        <f>D8*F8*J8*$V$4*AH8</f>
        <v>#VALUE!</v>
      </c>
      <c r="AE8" s="37" t="e">
        <f>D8*F8*J8*$X$4*AI8</f>
        <v>#VALUE!</v>
      </c>
      <c r="AG8" s="40" t="b">
        <v>0</v>
      </c>
      <c r="AH8" s="37" t="str">
        <f>IF(AG8=TRUE,"0.93",IF(ISERROR(AK8),"エラー",IF(AK8&gt;0.93,"0.93",AK8)))</f>
        <v>エラー</v>
      </c>
      <c r="AI8" s="37" t="str">
        <f>IF(AG8=TRUE,"0.51",IF(ISERROR(AL8),"エラー",IF(AL8&gt;0.72,"0.72",AL8)))</f>
        <v>エラー</v>
      </c>
      <c r="AK8" s="37" t="e">
        <f>IF(共通条件・結果!$AA$7="８（Ⅵ）",0.01*(16+19*(2*R8+T8)/P8),0.01*(16+24*(2*R8+T8)/P8))</f>
        <v>#DIV/0!</v>
      </c>
      <c r="AL8" s="37" t="e">
        <f>0.01*(5+20*(3*R8+T8)/P8)</f>
        <v>#DIV/0!</v>
      </c>
      <c r="AN8" s="37">
        <f>IF(共通条件・結果!$AA$7="８地域",H8,IF(AO8="FALSE",H8,IF(L8="風除室",1/((1/H8)+0.1),0.5*H8+0.5*(1/((1/H8)+AO8)))))</f>
        <v>0</v>
      </c>
      <c r="AO8" s="39" t="str">
        <f t="shared" ref="AO8:AO19" si="1">IF(L8="","FALSE",IF(L8="雨戸",0.1,IF(L8="ｼｬｯﾀｰ",0.1,IF(L8="障子",0.18,IF(L8="風除室",0.1)))))</f>
        <v>FALSE</v>
      </c>
    </row>
    <row r="9" spans="2:41" s="37" customFormat="1" ht="21.9" customHeight="1" x14ac:dyDescent="0.2">
      <c r="B9" s="185"/>
      <c r="C9" s="186"/>
      <c r="D9" s="187"/>
      <c r="E9" s="188"/>
      <c r="F9" s="188"/>
      <c r="G9" s="189"/>
      <c r="H9" s="190"/>
      <c r="I9" s="190"/>
      <c r="J9" s="190"/>
      <c r="K9" s="190"/>
      <c r="L9" s="203" t="s">
        <v>65</v>
      </c>
      <c r="M9" s="203"/>
      <c r="N9" s="213"/>
      <c r="O9" s="215"/>
      <c r="P9" s="269"/>
      <c r="Q9" s="206"/>
      <c r="R9" s="270"/>
      <c r="S9" s="271"/>
      <c r="T9" s="179"/>
      <c r="U9" s="269"/>
      <c r="V9" s="175" t="str">
        <f t="shared" ref="V9:V19" si="2">IF(D9="","",AD9)</f>
        <v/>
      </c>
      <c r="W9" s="175"/>
      <c r="X9" s="175" t="str">
        <f t="shared" si="0"/>
        <v/>
      </c>
      <c r="Y9" s="175"/>
      <c r="Z9" s="175" t="str">
        <f t="shared" ref="Z9:Z19" si="3">IF(D9="","",D9*F9*AN9)</f>
        <v/>
      </c>
      <c r="AA9" s="176"/>
      <c r="AD9" s="37" t="e">
        <f t="shared" ref="AD9:AD19" si="4">D9*F9*J9*$V$4*AH9</f>
        <v>#VALUE!</v>
      </c>
      <c r="AE9" s="37" t="e">
        <f t="shared" ref="AE9:AE19" si="5">D9*F9*J9*$X$4*AI9</f>
        <v>#VALUE!</v>
      </c>
      <c r="AG9" s="40" t="b">
        <v>0</v>
      </c>
      <c r="AH9" s="37" t="str">
        <f t="shared" ref="AH9:AH19" si="6">IF(AG9=TRUE,"0.93",IF(ISERROR(AK9),"エラー",IF(AK9&gt;0.93,"0.93",AK9)))</f>
        <v>エラー</v>
      </c>
      <c r="AI9" s="37" t="str">
        <f t="shared" ref="AI9:AI19" si="7">IF(AG9=TRUE,"0.51",IF(ISERROR(AL9),"エラー",IF(AL9&gt;0.72,"0.72",AL9)))</f>
        <v>エラー</v>
      </c>
      <c r="AK9" s="37" t="e">
        <f>IF(共通条件・結果!$AA$7="８（Ⅵ）",0.01*(16+19*(2*R9+T9)/P9),0.01*(16+24*(2*R9+T9)/P9))</f>
        <v>#DIV/0!</v>
      </c>
      <c r="AL9" s="37" t="e">
        <f t="shared" ref="AL9:AL19" si="8">0.01*(5+20*(3*R9+T9)/P9)</f>
        <v>#DIV/0!</v>
      </c>
      <c r="AN9" s="37" t="e">
        <f>IF(共通条件・結果!$AA$7="８地域",H9,IF(AO9="FALSE",H9,IF(L9="風除室",1/((1/H9)+0.1),0.5*H9+0.5*(1/((1/H9)+AO9)))))</f>
        <v>#DIV/0!</v>
      </c>
      <c r="AO9" s="39" t="b">
        <f t="shared" si="1"/>
        <v>0</v>
      </c>
    </row>
    <row r="10" spans="2:41" s="37" customFormat="1" ht="21.9" customHeight="1" x14ac:dyDescent="0.2">
      <c r="B10" s="185"/>
      <c r="C10" s="186"/>
      <c r="D10" s="187"/>
      <c r="E10" s="188"/>
      <c r="F10" s="188"/>
      <c r="G10" s="189"/>
      <c r="H10" s="190"/>
      <c r="I10" s="190"/>
      <c r="J10" s="190"/>
      <c r="K10" s="190"/>
      <c r="L10" s="203" t="s">
        <v>65</v>
      </c>
      <c r="M10" s="203"/>
      <c r="N10" s="213"/>
      <c r="O10" s="215"/>
      <c r="P10" s="206"/>
      <c r="Q10" s="178"/>
      <c r="R10" s="177"/>
      <c r="S10" s="178"/>
      <c r="T10" s="177"/>
      <c r="U10" s="179"/>
      <c r="V10" s="175" t="str">
        <f t="shared" si="2"/>
        <v/>
      </c>
      <c r="W10" s="175"/>
      <c r="X10" s="175" t="str">
        <f t="shared" si="0"/>
        <v/>
      </c>
      <c r="Y10" s="175"/>
      <c r="Z10" s="175" t="str">
        <f t="shared" si="3"/>
        <v/>
      </c>
      <c r="AA10" s="176"/>
      <c r="AD10" s="37" t="e">
        <f t="shared" si="4"/>
        <v>#VALUE!</v>
      </c>
      <c r="AE10" s="37" t="e">
        <f t="shared" si="5"/>
        <v>#VALUE!</v>
      </c>
      <c r="AG10" s="40" t="b">
        <v>0</v>
      </c>
      <c r="AH10" s="37" t="str">
        <f t="shared" si="6"/>
        <v>エラー</v>
      </c>
      <c r="AI10" s="37" t="str">
        <f t="shared" si="7"/>
        <v>エラー</v>
      </c>
      <c r="AK10" s="37" t="e">
        <f>IF(共通条件・結果!$AA$7="８（Ⅵ）",0.01*(16+19*(2*R10+T10)/P10),0.01*(16+24*(2*R10+T10)/P10))</f>
        <v>#DIV/0!</v>
      </c>
      <c r="AL10" s="37" t="e">
        <f t="shared" si="8"/>
        <v>#DIV/0!</v>
      </c>
      <c r="AN10" s="37" t="e">
        <f>IF(共通条件・結果!$AA$7="８地域",H10,IF(AO10="FALSE",H10,IF(L10="風除室",1/((1/H10)+0.1),0.5*H10+0.5*(1/((1/H10)+AO10)))))</f>
        <v>#DIV/0!</v>
      </c>
      <c r="AO10" s="39" t="b">
        <f t="shared" si="1"/>
        <v>0</v>
      </c>
    </row>
    <row r="11" spans="2:41" s="37" customFormat="1" ht="21.9" customHeight="1" x14ac:dyDescent="0.2">
      <c r="B11" s="185"/>
      <c r="C11" s="186"/>
      <c r="D11" s="187"/>
      <c r="E11" s="188"/>
      <c r="F11" s="188"/>
      <c r="G11" s="189"/>
      <c r="H11" s="190"/>
      <c r="I11" s="190"/>
      <c r="J11" s="190"/>
      <c r="K11" s="190"/>
      <c r="L11" s="203" t="s">
        <v>65</v>
      </c>
      <c r="M11" s="203"/>
      <c r="N11" s="213"/>
      <c r="O11" s="215"/>
      <c r="P11" s="206"/>
      <c r="Q11" s="178"/>
      <c r="R11" s="177"/>
      <c r="S11" s="178"/>
      <c r="T11" s="177"/>
      <c r="U11" s="179"/>
      <c r="V11" s="175" t="str">
        <f t="shared" si="2"/>
        <v/>
      </c>
      <c r="W11" s="175"/>
      <c r="X11" s="175" t="str">
        <f t="shared" si="0"/>
        <v/>
      </c>
      <c r="Y11" s="175"/>
      <c r="Z11" s="175" t="str">
        <f t="shared" si="3"/>
        <v/>
      </c>
      <c r="AA11" s="176"/>
      <c r="AD11" s="37" t="e">
        <f t="shared" si="4"/>
        <v>#VALUE!</v>
      </c>
      <c r="AE11" s="37" t="e">
        <f t="shared" si="5"/>
        <v>#VALUE!</v>
      </c>
      <c r="AG11" s="40" t="b">
        <v>0</v>
      </c>
      <c r="AH11" s="37" t="str">
        <f t="shared" si="6"/>
        <v>エラー</v>
      </c>
      <c r="AI11" s="37" t="str">
        <f t="shared" si="7"/>
        <v>エラー</v>
      </c>
      <c r="AK11" s="37" t="e">
        <f>IF(共通条件・結果!$AA$7="８（Ⅵ）",0.01*(16+19*(2*R11+T11)/P11),0.01*(16+24*(2*R11+T11)/P11))</f>
        <v>#DIV/0!</v>
      </c>
      <c r="AL11" s="37" t="e">
        <f t="shared" si="8"/>
        <v>#DIV/0!</v>
      </c>
      <c r="AN11" s="37" t="e">
        <f>IF(共通条件・結果!$AA$7="８地域",H11,IF(AO11="FALSE",H11,IF(L11="風除室",1/((1/H11)+0.1),0.5*H11+0.5*(1/((1/H11)+AO11)))))</f>
        <v>#DIV/0!</v>
      </c>
      <c r="AO11" s="39" t="b">
        <f t="shared" si="1"/>
        <v>0</v>
      </c>
    </row>
    <row r="12" spans="2:41" s="37" customFormat="1" ht="21.9" customHeight="1" x14ac:dyDescent="0.2">
      <c r="B12" s="185"/>
      <c r="C12" s="205"/>
      <c r="D12" s="207"/>
      <c r="E12" s="208"/>
      <c r="F12" s="209"/>
      <c r="G12" s="210"/>
      <c r="H12" s="207"/>
      <c r="I12" s="210"/>
      <c r="J12" s="207"/>
      <c r="K12" s="210"/>
      <c r="L12" s="211"/>
      <c r="M12" s="212"/>
      <c r="N12" s="213"/>
      <c r="O12" s="214"/>
      <c r="P12" s="206"/>
      <c r="Q12" s="178"/>
      <c r="R12" s="177"/>
      <c r="S12" s="178"/>
      <c r="T12" s="177"/>
      <c r="U12" s="179"/>
      <c r="V12" s="180" t="str">
        <f t="shared" ref="V12:V13" si="9">IF(D12="","",AD12)</f>
        <v/>
      </c>
      <c r="W12" s="181"/>
      <c r="X12" s="180" t="str">
        <f t="shared" ref="X12:X13" si="10">IF(D12="","",IF(ISERROR(AE12),"-",AE12))</f>
        <v/>
      </c>
      <c r="Y12" s="181"/>
      <c r="Z12" s="180" t="str">
        <f t="shared" ref="Z12:Z13" si="11">IF(D12="","",D12*F12*AN12)</f>
        <v/>
      </c>
      <c r="AA12" s="182"/>
      <c r="AD12" s="37" t="e">
        <f t="shared" ref="AD12:AD13" si="12">D12*F12*J12*$V$4*AH12</f>
        <v>#VALUE!</v>
      </c>
      <c r="AE12" s="37" t="e">
        <f t="shared" ref="AE12:AE13" si="13">D12*F12*J12*$X$4*AI12</f>
        <v>#VALUE!</v>
      </c>
      <c r="AG12" s="40" t="b">
        <v>0</v>
      </c>
      <c r="AH12" s="37" t="str">
        <f t="shared" ref="AH12:AH13" si="14">IF(AG12=TRUE,"0.93",IF(ISERROR(AK12),"エラー",IF(AK12&gt;0.93,"0.93",AK12)))</f>
        <v>エラー</v>
      </c>
      <c r="AI12" s="37" t="str">
        <f t="shared" ref="AI12:AI13" si="15">IF(AG12=TRUE,"0.51",IF(ISERROR(AL12),"エラー",IF(AL12&gt;0.72,"0.72",AL12)))</f>
        <v>エラー</v>
      </c>
      <c r="AK12" s="37" t="e">
        <f>IF(共通条件・結果!$AA$7="８（Ⅵ）",0.01*(16+19*(2*R12+T12)/P12),0.01*(16+24*(2*R12+T12)/P12))</f>
        <v>#DIV/0!</v>
      </c>
      <c r="AL12" s="37" t="e">
        <f t="shared" ref="AL12:AL13" si="16">0.01*(5+20*(3*R12+T12)/P12)</f>
        <v>#DIV/0!</v>
      </c>
      <c r="AN12" s="37">
        <f>IF(共通条件・結果!$AA$7="８地域",H12,IF(AO12="FALSE",H12,IF(L12="風除室",1/((1/H12)+0.1),0.5*H12+0.5*(1/((1/H12)+AO12)))))</f>
        <v>0</v>
      </c>
      <c r="AO12" s="95" t="str">
        <f t="shared" ref="AO12:AO13" si="17">IF(L12="","FALSE",IF(L12="雨戸",0.1,IF(L12="ｼｬｯﾀｰ",0.1,IF(L12="障子",0.18,IF(L12="風除室",0.1)))))</f>
        <v>FALSE</v>
      </c>
    </row>
    <row r="13" spans="2:41" s="37" customFormat="1" ht="21.9" customHeight="1" x14ac:dyDescent="0.2">
      <c r="B13" s="185"/>
      <c r="C13" s="205"/>
      <c r="D13" s="207"/>
      <c r="E13" s="208"/>
      <c r="F13" s="209"/>
      <c r="G13" s="210"/>
      <c r="H13" s="207"/>
      <c r="I13" s="210"/>
      <c r="J13" s="207"/>
      <c r="K13" s="210"/>
      <c r="L13" s="211"/>
      <c r="M13" s="212"/>
      <c r="N13" s="213"/>
      <c r="O13" s="214"/>
      <c r="P13" s="206"/>
      <c r="Q13" s="178"/>
      <c r="R13" s="177"/>
      <c r="S13" s="178"/>
      <c r="T13" s="177"/>
      <c r="U13" s="179"/>
      <c r="V13" s="180" t="str">
        <f t="shared" si="9"/>
        <v/>
      </c>
      <c r="W13" s="181"/>
      <c r="X13" s="180" t="str">
        <f t="shared" si="10"/>
        <v/>
      </c>
      <c r="Y13" s="181"/>
      <c r="Z13" s="180" t="str">
        <f t="shared" si="11"/>
        <v/>
      </c>
      <c r="AA13" s="182"/>
      <c r="AD13" s="37" t="e">
        <f t="shared" si="12"/>
        <v>#VALUE!</v>
      </c>
      <c r="AE13" s="37" t="e">
        <f t="shared" si="13"/>
        <v>#VALUE!</v>
      </c>
      <c r="AG13" s="40" t="b">
        <v>0</v>
      </c>
      <c r="AH13" s="37" t="str">
        <f t="shared" si="14"/>
        <v>エラー</v>
      </c>
      <c r="AI13" s="37" t="str">
        <f t="shared" si="15"/>
        <v>エラー</v>
      </c>
      <c r="AK13" s="37" t="e">
        <f>IF(共通条件・結果!$AA$7="８（Ⅵ）",0.01*(16+19*(2*R13+T13)/P13),0.01*(16+24*(2*R13+T13)/P13))</f>
        <v>#DIV/0!</v>
      </c>
      <c r="AL13" s="37" t="e">
        <f t="shared" si="16"/>
        <v>#DIV/0!</v>
      </c>
      <c r="AN13" s="37">
        <f>IF(共通条件・結果!$AA$7="８地域",H13,IF(AO13="FALSE",H13,IF(L13="風除室",1/((1/H13)+0.1),0.5*H13+0.5*(1/((1/H13)+AO13)))))</f>
        <v>0</v>
      </c>
      <c r="AO13" s="95" t="str">
        <f t="shared" si="17"/>
        <v>FALSE</v>
      </c>
    </row>
    <row r="14" spans="2:41" s="37" customFormat="1" ht="21.9" customHeight="1" x14ac:dyDescent="0.2">
      <c r="B14" s="185"/>
      <c r="C14" s="186"/>
      <c r="D14" s="187"/>
      <c r="E14" s="188"/>
      <c r="F14" s="188"/>
      <c r="G14" s="189"/>
      <c r="H14" s="190"/>
      <c r="I14" s="190"/>
      <c r="J14" s="190"/>
      <c r="K14" s="190"/>
      <c r="L14" s="203" t="s">
        <v>65</v>
      </c>
      <c r="M14" s="203"/>
      <c r="N14" s="213"/>
      <c r="O14" s="215"/>
      <c r="P14" s="206"/>
      <c r="Q14" s="178"/>
      <c r="R14" s="177"/>
      <c r="S14" s="178"/>
      <c r="T14" s="177"/>
      <c r="U14" s="179"/>
      <c r="V14" s="175" t="str">
        <f t="shared" si="2"/>
        <v/>
      </c>
      <c r="W14" s="175"/>
      <c r="X14" s="175" t="str">
        <f t="shared" si="0"/>
        <v/>
      </c>
      <c r="Y14" s="175"/>
      <c r="Z14" s="175" t="str">
        <f t="shared" si="3"/>
        <v/>
      </c>
      <c r="AA14" s="176"/>
      <c r="AD14" s="37" t="e">
        <f t="shared" si="4"/>
        <v>#VALUE!</v>
      </c>
      <c r="AE14" s="37" t="e">
        <f t="shared" si="5"/>
        <v>#VALUE!</v>
      </c>
      <c r="AG14" s="40" t="b">
        <v>0</v>
      </c>
      <c r="AH14" s="37" t="str">
        <f t="shared" si="6"/>
        <v>エラー</v>
      </c>
      <c r="AI14" s="37" t="str">
        <f t="shared" si="7"/>
        <v>エラー</v>
      </c>
      <c r="AK14" s="37" t="e">
        <f>IF(共通条件・結果!$AA$7="８（Ⅵ）",0.01*(16+19*(2*R14+T14)/P14),0.01*(16+24*(2*R14+T14)/P14))</f>
        <v>#DIV/0!</v>
      </c>
      <c r="AL14" s="37" t="e">
        <f t="shared" si="8"/>
        <v>#DIV/0!</v>
      </c>
      <c r="AN14" s="37" t="e">
        <f>IF(共通条件・結果!$AA$7="８地域",H14,IF(AO14="FALSE",H14,IF(L14="風除室",1/((1/H14)+0.1),0.5*H14+0.5*(1/((1/H14)+AO14)))))</f>
        <v>#DIV/0!</v>
      </c>
      <c r="AO14" s="39" t="b">
        <f t="shared" si="1"/>
        <v>0</v>
      </c>
    </row>
    <row r="15" spans="2:41" s="37" customFormat="1" ht="21.9" customHeight="1" x14ac:dyDescent="0.2">
      <c r="B15" s="185"/>
      <c r="C15" s="186"/>
      <c r="D15" s="187"/>
      <c r="E15" s="188"/>
      <c r="F15" s="188"/>
      <c r="G15" s="189"/>
      <c r="H15" s="190"/>
      <c r="I15" s="190"/>
      <c r="J15" s="190"/>
      <c r="K15" s="190"/>
      <c r="L15" s="203" t="s">
        <v>65</v>
      </c>
      <c r="M15" s="203"/>
      <c r="N15" s="213"/>
      <c r="O15" s="215"/>
      <c r="P15" s="206"/>
      <c r="Q15" s="178"/>
      <c r="R15" s="177"/>
      <c r="S15" s="178"/>
      <c r="T15" s="177"/>
      <c r="U15" s="179"/>
      <c r="V15" s="180" t="str">
        <f t="shared" si="2"/>
        <v/>
      </c>
      <c r="W15" s="181"/>
      <c r="X15" s="175" t="str">
        <f t="shared" si="0"/>
        <v/>
      </c>
      <c r="Y15" s="175"/>
      <c r="Z15" s="175" t="str">
        <f t="shared" si="3"/>
        <v/>
      </c>
      <c r="AA15" s="176"/>
      <c r="AD15" s="37" t="e">
        <f t="shared" si="4"/>
        <v>#VALUE!</v>
      </c>
      <c r="AE15" s="37" t="e">
        <f t="shared" si="5"/>
        <v>#VALUE!</v>
      </c>
      <c r="AG15" s="40" t="b">
        <v>0</v>
      </c>
      <c r="AH15" s="37" t="str">
        <f t="shared" si="6"/>
        <v>エラー</v>
      </c>
      <c r="AI15" s="37" t="str">
        <f t="shared" si="7"/>
        <v>エラー</v>
      </c>
      <c r="AK15" s="37" t="e">
        <f>IF(共通条件・結果!$AA$7="８（Ⅵ）",0.01*(16+19*(2*R15+T15)/P15),0.01*(16+24*(2*R15+T15)/P15))</f>
        <v>#DIV/0!</v>
      </c>
      <c r="AL15" s="37" t="e">
        <f t="shared" si="8"/>
        <v>#DIV/0!</v>
      </c>
      <c r="AN15" s="37" t="e">
        <f>IF(共通条件・結果!$AA$7="８地域",H15,IF(AO15="FALSE",H15,IF(L15="風除室",1/((1/H15)+0.1),0.5*H15+0.5*(1/((1/H15)+AO15)))))</f>
        <v>#DIV/0!</v>
      </c>
      <c r="AO15" s="39" t="b">
        <f t="shared" si="1"/>
        <v>0</v>
      </c>
    </row>
    <row r="16" spans="2:41" s="37" customFormat="1" ht="21.9" customHeight="1" x14ac:dyDescent="0.2">
      <c r="B16" s="185"/>
      <c r="C16" s="186"/>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IF(共通条件・結果!$AA$7="８（Ⅵ）",0.01*(16+19*(2*R16+T16)/P16),0.01*(16+24*(2*R16+T16)/P16))</f>
        <v>#DIV/0!</v>
      </c>
      <c r="AL16" s="37" t="e">
        <f t="shared" si="8"/>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IF(共通条件・結果!$AA$7="８（Ⅵ）",0.01*(16+19*(2*R17+T17)/P17),0.01*(16+24*(2*R17+T17)/P17))</f>
        <v>#DIV/0!</v>
      </c>
      <c r="AL17" s="37" t="e">
        <f t="shared" si="8"/>
        <v>#DIV/0!</v>
      </c>
      <c r="AN17" s="37" t="e">
        <f>IF(共通条件・結果!$AA$7="８地域",H17,IF(AO17="FALSE",H17,IF(L17="風除室",1/((1/H17)+0.1),0.5*H17+0.5*(1/((1/H17)+AO17)))))</f>
        <v>#DIV/0!</v>
      </c>
      <c r="AO17" s="39" t="b">
        <f t="shared" si="1"/>
        <v>0</v>
      </c>
    </row>
    <row r="18" spans="2:41" s="37" customFormat="1" ht="21.9" customHeight="1" x14ac:dyDescent="0.2">
      <c r="B18" s="185"/>
      <c r="C18" s="186"/>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IF(共通条件・結果!$AA$7="８（Ⅵ）",0.01*(16+19*(2*R18+T18)/P18),0.01*(16+24*(2*R18+T18)/P18))</f>
        <v>#DIV/0!</v>
      </c>
      <c r="AL18" s="37" t="e">
        <f t="shared" si="8"/>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IF(共通条件・結果!$AA$7="８（Ⅵ）",0.01*(16+19*(2*R19+T19)/P19),0.01*(16+24*(2*R19+T19)/P19))</f>
        <v>#DIV/0!</v>
      </c>
      <c r="AL19" s="37" t="e">
        <f t="shared" si="8"/>
        <v>#DIV/0!</v>
      </c>
      <c r="AN19" s="37" t="e">
        <f>IF(共通条件・結果!$AA$7="８地域",H19,IF(AO19="FALSE",H19,IF(L19="風除室",1/((1/H19)+0.1),0.5*H19+0.5*(1/((1/H19)+AO19)))))</f>
        <v>#DIV/0!</v>
      </c>
      <c r="AO19" s="39" t="b">
        <f t="shared" si="1"/>
        <v>0</v>
      </c>
    </row>
    <row r="20" spans="2:41" s="37" customFormat="1" ht="21.9" customHeight="1" thickBot="1" x14ac:dyDescent="0.25">
      <c r="B20" s="285" t="s">
        <v>129</v>
      </c>
      <c r="C20" s="286"/>
      <c r="D20" s="286"/>
      <c r="E20" s="286"/>
      <c r="F20" s="286"/>
      <c r="G20" s="286"/>
      <c r="H20" s="286"/>
      <c r="I20" s="286"/>
      <c r="J20" s="286"/>
      <c r="K20" s="286"/>
      <c r="L20" s="286"/>
      <c r="M20" s="286"/>
      <c r="N20" s="286"/>
      <c r="O20" s="286"/>
      <c r="P20" s="286"/>
      <c r="Q20" s="286"/>
      <c r="R20" s="286"/>
      <c r="S20" s="286"/>
      <c r="T20" s="286"/>
      <c r="U20" s="286"/>
      <c r="V20" s="287">
        <f>SUM(V8:W19)</f>
        <v>0</v>
      </c>
      <c r="W20" s="287"/>
      <c r="X20" s="287">
        <f>SUM(X8:Y19)</f>
        <v>0</v>
      </c>
      <c r="Y20" s="287"/>
      <c r="Z20" s="287">
        <f>SUM(Z8:AA19)</f>
        <v>0</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147</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c r="K33" s="184"/>
      <c r="L33" s="316"/>
      <c r="M33" s="317"/>
      <c r="N33" s="316"/>
      <c r="O33" s="317"/>
      <c r="P33" s="318" t="str">
        <f>IF(L33="","",L33-N33)</f>
        <v/>
      </c>
      <c r="Q33" s="319"/>
      <c r="R33" s="267"/>
      <c r="S33" s="267"/>
      <c r="T33" s="320"/>
      <c r="U33" s="320"/>
      <c r="V33" s="321" t="str">
        <f>IF(P33="","",IF(AD33=TRUE,0,P33*R33*0.034*$V$4))</f>
        <v/>
      </c>
      <c r="W33" s="321"/>
      <c r="X33" s="322" t="str">
        <f>IF(P33="","",IF(ISERROR(P33*R33*0.034*$X$4),"-",IF(AD33=TRUE,0,P33*R33*0.034*$X$4)))</f>
        <v/>
      </c>
      <c r="Y33" s="323"/>
      <c r="Z33" s="321" t="str">
        <f>IF(R33="","",IF(AD33=TRUE,0.7*R33*P33,R33*P33))</f>
        <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c r="K34" s="205"/>
      <c r="L34" s="207"/>
      <c r="M34" s="210"/>
      <c r="N34" s="207"/>
      <c r="O34" s="210"/>
      <c r="P34" s="313" t="str">
        <f t="shared" ref="P34:P35" si="18">IF(L34="","",L34-N34)</f>
        <v/>
      </c>
      <c r="Q34" s="314"/>
      <c r="R34" s="207"/>
      <c r="S34" s="210"/>
      <c r="T34" s="352"/>
      <c r="U34" s="353"/>
      <c r="V34" s="180" t="str">
        <f t="shared" ref="V34:V35" si="19">IF(P34="","",IF(AD34=TRUE,0,P34*R34*0.034*$V$4))</f>
        <v/>
      </c>
      <c r="W34" s="181"/>
      <c r="X34" s="180" t="str">
        <f t="shared" ref="X34:X35" si="20">IF(P34="","",IF(ISERROR(P34*R34*0.034*$X$4),"-",IF(AD34=TRUE,0,P34*R34*0.034*$X$4)))</f>
        <v/>
      </c>
      <c r="Y34" s="181"/>
      <c r="Z34" s="180" t="str">
        <f t="shared" ref="Z34:Z35" si="21">IF(R34="","",IF(AD34=TRUE,0.7*R34*P34,R34*P34))</f>
        <v/>
      </c>
      <c r="AA34" s="182"/>
      <c r="AD34" s="40" t="b">
        <v>0</v>
      </c>
      <c r="AE34" s="40">
        <f t="shared" ref="AE34:AE35" si="22">IF(AD34=TRUE,0.7,1)</f>
        <v>1</v>
      </c>
      <c r="AF34" s="40" t="str">
        <f t="shared" ref="AF34:AF35" si="23">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18"/>
        <v/>
      </c>
      <c r="Q35" s="314"/>
      <c r="R35" s="207"/>
      <c r="S35" s="210"/>
      <c r="T35" s="352"/>
      <c r="U35" s="353"/>
      <c r="V35" s="180" t="str">
        <f t="shared" si="19"/>
        <v/>
      </c>
      <c r="W35" s="181"/>
      <c r="X35" s="180" t="str">
        <f t="shared" si="20"/>
        <v/>
      </c>
      <c r="Y35" s="181"/>
      <c r="Z35" s="180" t="str">
        <f t="shared" si="21"/>
        <v/>
      </c>
      <c r="AA35" s="182"/>
      <c r="AD35" s="40" t="b">
        <v>0</v>
      </c>
      <c r="AE35" s="40">
        <f t="shared" si="22"/>
        <v>1</v>
      </c>
      <c r="AF35" s="40" t="str">
        <f t="shared" si="23"/>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130</v>
      </c>
      <c r="K38" s="286"/>
      <c r="L38" s="286"/>
      <c r="M38" s="286"/>
      <c r="N38" s="286"/>
      <c r="O38" s="286"/>
      <c r="P38" s="286"/>
      <c r="Q38" s="286"/>
      <c r="R38" s="286"/>
      <c r="S38" s="286"/>
      <c r="T38" s="286"/>
      <c r="U38" s="312"/>
      <c r="V38" s="287">
        <f>SUM(V33:W37)</f>
        <v>0</v>
      </c>
      <c r="W38" s="287"/>
      <c r="X38" s="287">
        <f>SUM(X33:Y37)</f>
        <v>0</v>
      </c>
      <c r="Y38" s="287"/>
      <c r="Z38" s="287">
        <f>SUM(Z33:AA37)</f>
        <v>0</v>
      </c>
      <c r="AA38" s="288"/>
    </row>
    <row r="39" spans="2:32" s="37" customFormat="1" ht="9.9" customHeight="1" x14ac:dyDescent="0.2"/>
    <row r="40" spans="2:32" s="37" customFormat="1" ht="21.9" customHeight="1" thickBot="1" x14ac:dyDescent="0.25">
      <c r="B40" s="38" t="s">
        <v>131</v>
      </c>
    </row>
    <row r="41" spans="2:32" s="37" customFormat="1" ht="21.9" customHeight="1" x14ac:dyDescent="0.2">
      <c r="B41" s="291" t="s">
        <v>106</v>
      </c>
      <c r="C41" s="292"/>
      <c r="D41" s="305" t="s">
        <v>56</v>
      </c>
      <c r="E41" s="306"/>
      <c r="F41" s="306"/>
      <c r="G41" s="306"/>
      <c r="H41" s="306"/>
      <c r="I41" s="306"/>
      <c r="J41" s="307"/>
      <c r="K41" s="42"/>
      <c r="L41" s="301">
        <f>Q41+U41+Y41</f>
        <v>0</v>
      </c>
      <c r="M41" s="301"/>
      <c r="N41" s="301"/>
      <c r="O41" s="42" t="s">
        <v>24</v>
      </c>
      <c r="P41" s="43" t="s">
        <v>23</v>
      </c>
      <c r="Q41" s="302">
        <f>D8*F8+D9*F9+D10*F10+D11*F11+D12*F12+D13*F13+D14*F14+D15*F15+D16*F16+D17*F17+D18*F18+D19*F19</f>
        <v>0</v>
      </c>
      <c r="R41" s="302"/>
      <c r="S41" s="44" t="s">
        <v>25</v>
      </c>
      <c r="T41" s="44" t="s">
        <v>22</v>
      </c>
      <c r="U41" s="303">
        <f>N25*P25+N26*P26+N27*P27</f>
        <v>0</v>
      </c>
      <c r="V41" s="303"/>
      <c r="W41" s="44" t="s">
        <v>25</v>
      </c>
      <c r="X41" s="44" t="s">
        <v>1</v>
      </c>
      <c r="Y41" s="304">
        <f>SUM(P33:Q37)</f>
        <v>0</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0</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aGyMV+EeIGo/S14kfZBnN227JOk0QUHiQkUSCSc7YT0at3Bbg2D6/2AVhEKpWrEMFym3rPgvCH+/qXAA12J5Ig==" saltValue="QETEVIq339CgLfyXRVeaLw==" spinCount="100000" sheet="1" objects="1" scenarios="1" selectLockedCells="1"/>
  <mergeCells count="293">
    <mergeCell ref="L34:M34"/>
    <mergeCell ref="L35:M35"/>
    <mergeCell ref="N34:O34"/>
    <mergeCell ref="N35:O35"/>
    <mergeCell ref="R34:S34"/>
    <mergeCell ref="R35:S35"/>
    <mergeCell ref="P34:Q34"/>
    <mergeCell ref="P35:Q35"/>
    <mergeCell ref="V34:W34"/>
    <mergeCell ref="V35:W35"/>
    <mergeCell ref="T34:U34"/>
    <mergeCell ref="T35:U35"/>
    <mergeCell ref="V12:W12"/>
    <mergeCell ref="V13:W13"/>
    <mergeCell ref="X12:Y12"/>
    <mergeCell ref="X13:Y13"/>
    <mergeCell ref="Z12:AA12"/>
    <mergeCell ref="Z13:AA13"/>
    <mergeCell ref="N26:O26"/>
    <mergeCell ref="J26:M26"/>
    <mergeCell ref="P26:Q26"/>
    <mergeCell ref="R26:S26"/>
    <mergeCell ref="T26:U26"/>
    <mergeCell ref="V26:W26"/>
    <mergeCell ref="X26:Y26"/>
    <mergeCell ref="Z26:AA26"/>
    <mergeCell ref="N12:O12"/>
    <mergeCell ref="N13:O13"/>
    <mergeCell ref="L12:M12"/>
    <mergeCell ref="L13:M13"/>
    <mergeCell ref="P12:Q12"/>
    <mergeCell ref="P13:Q13"/>
    <mergeCell ref="R12:S12"/>
    <mergeCell ref="R13:S13"/>
    <mergeCell ref="T12:U12"/>
    <mergeCell ref="T13:U13"/>
    <mergeCell ref="B12:C12"/>
    <mergeCell ref="B13:C13"/>
    <mergeCell ref="D12:E12"/>
    <mergeCell ref="D13:E13"/>
    <mergeCell ref="F12:G12"/>
    <mergeCell ref="F13:G13"/>
    <mergeCell ref="H12:I12"/>
    <mergeCell ref="H13:I13"/>
    <mergeCell ref="J12:K12"/>
    <mergeCell ref="J13:K13"/>
    <mergeCell ref="J34:K34"/>
    <mergeCell ref="J35:K35"/>
    <mergeCell ref="J27:M27"/>
    <mergeCell ref="J31:K32"/>
    <mergeCell ref="J28:U28"/>
    <mergeCell ref="J38:U38"/>
    <mergeCell ref="D6:E7"/>
    <mergeCell ref="F6:G7"/>
    <mergeCell ref="N6:O7"/>
    <mergeCell ref="P6:U6"/>
    <mergeCell ref="N8:O8"/>
    <mergeCell ref="P8:Q8"/>
    <mergeCell ref="T10:U10"/>
    <mergeCell ref="T14:U14"/>
    <mergeCell ref="T16:U16"/>
    <mergeCell ref="N25:O25"/>
    <mergeCell ref="P25:Q25"/>
    <mergeCell ref="R25:S25"/>
    <mergeCell ref="T25:U25"/>
    <mergeCell ref="J23:M24"/>
    <mergeCell ref="J25:M25"/>
    <mergeCell ref="L36:M36"/>
    <mergeCell ref="N36:O36"/>
    <mergeCell ref="P36:Q36"/>
    <mergeCell ref="J36:K36"/>
    <mergeCell ref="J33:K33"/>
    <mergeCell ref="B2:AA2"/>
    <mergeCell ref="R4:U4"/>
    <mergeCell ref="V4:W4"/>
    <mergeCell ref="X4:Y4"/>
    <mergeCell ref="B5:C7"/>
    <mergeCell ref="D5:G5"/>
    <mergeCell ref="H5:I7"/>
    <mergeCell ref="J5:K7"/>
    <mergeCell ref="L5:M7"/>
    <mergeCell ref="N5:U5"/>
    <mergeCell ref="J8:K8"/>
    <mergeCell ref="L8:M8"/>
    <mergeCell ref="R8:S8"/>
    <mergeCell ref="T8:U8"/>
    <mergeCell ref="V8:W8"/>
    <mergeCell ref="J10:K10"/>
    <mergeCell ref="L10:M10"/>
    <mergeCell ref="N10:O10"/>
    <mergeCell ref="P10:Q10"/>
    <mergeCell ref="R10:S10"/>
    <mergeCell ref="X8:Y8"/>
    <mergeCell ref="Z8:AA8"/>
    <mergeCell ref="AD6:AE6"/>
    <mergeCell ref="AH6:AI6"/>
    <mergeCell ref="AK6:AL6"/>
    <mergeCell ref="AN6:AO6"/>
    <mergeCell ref="P7:Q7"/>
    <mergeCell ref="R7:S7"/>
    <mergeCell ref="T7:U7"/>
    <mergeCell ref="V5:W7"/>
    <mergeCell ref="X5:Y7"/>
    <mergeCell ref="Z5:AA7"/>
    <mergeCell ref="B9:C9"/>
    <mergeCell ref="D9:E9"/>
    <mergeCell ref="F9:G9"/>
    <mergeCell ref="H9:I9"/>
    <mergeCell ref="J9:K9"/>
    <mergeCell ref="L9:M9"/>
    <mergeCell ref="N9:O9"/>
    <mergeCell ref="P9:Q9"/>
    <mergeCell ref="R9:S9"/>
    <mergeCell ref="T9:U9"/>
    <mergeCell ref="V9:W9"/>
    <mergeCell ref="X9:Y9"/>
    <mergeCell ref="Z9:AA9"/>
    <mergeCell ref="B8:C8"/>
    <mergeCell ref="D8:E8"/>
    <mergeCell ref="F8:G8"/>
    <mergeCell ref="H8:I8"/>
    <mergeCell ref="L14:M14"/>
    <mergeCell ref="N14:O14"/>
    <mergeCell ref="P14:Q14"/>
    <mergeCell ref="R14:S14"/>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N16:O16"/>
    <mergeCell ref="P16:Q16"/>
    <mergeCell ref="R16:S16"/>
    <mergeCell ref="V14:W14"/>
    <mergeCell ref="X14:Y14"/>
    <mergeCell ref="Z14:AA14"/>
    <mergeCell ref="B15:C15"/>
    <mergeCell ref="D15:E15"/>
    <mergeCell ref="F15:G15"/>
    <mergeCell ref="H15:I15"/>
    <mergeCell ref="J15:K15"/>
    <mergeCell ref="L15:M15"/>
    <mergeCell ref="N15:O15"/>
    <mergeCell ref="P15:Q15"/>
    <mergeCell ref="R15:S15"/>
    <mergeCell ref="T15:U15"/>
    <mergeCell ref="V15:W15"/>
    <mergeCell ref="X15:Y15"/>
    <mergeCell ref="Z15:AA15"/>
    <mergeCell ref="B14:C14"/>
    <mergeCell ref="D14:E14"/>
    <mergeCell ref="F14:G14"/>
    <mergeCell ref="H14:I14"/>
    <mergeCell ref="J14:K14"/>
    <mergeCell ref="Z18:AA18"/>
    <mergeCell ref="X18:Y18"/>
    <mergeCell ref="V16:W16"/>
    <mergeCell ref="X16:Y16"/>
    <mergeCell ref="Z16:AA16"/>
    <mergeCell ref="B17:C17"/>
    <mergeCell ref="D17:E17"/>
    <mergeCell ref="F17:G17"/>
    <mergeCell ref="H17:I17"/>
    <mergeCell ref="J17:K17"/>
    <mergeCell ref="L17:M17"/>
    <mergeCell ref="N17:O17"/>
    <mergeCell ref="P17:Q17"/>
    <mergeCell ref="R17:S17"/>
    <mergeCell ref="T17:U17"/>
    <mergeCell ref="V17:W17"/>
    <mergeCell ref="X17:Y17"/>
    <mergeCell ref="Z17:AA17"/>
    <mergeCell ref="B16:C16"/>
    <mergeCell ref="D16:E16"/>
    <mergeCell ref="F16:G16"/>
    <mergeCell ref="H16:I16"/>
    <mergeCell ref="J16:K16"/>
    <mergeCell ref="L16:M16"/>
    <mergeCell ref="R18:S18"/>
    <mergeCell ref="T18:U18"/>
    <mergeCell ref="V18:W18"/>
    <mergeCell ref="B18:C18"/>
    <mergeCell ref="D18:E18"/>
    <mergeCell ref="F18:G18"/>
    <mergeCell ref="H18:I18"/>
    <mergeCell ref="J18:K18"/>
    <mergeCell ref="L18:M18"/>
    <mergeCell ref="N18:O18"/>
    <mergeCell ref="P18:Q18"/>
    <mergeCell ref="X19:Y19"/>
    <mergeCell ref="Z19:AA19"/>
    <mergeCell ref="B20:U20"/>
    <mergeCell ref="V20:W20"/>
    <mergeCell ref="X20:Y20"/>
    <mergeCell ref="Z20:AA20"/>
    <mergeCell ref="L19:M19"/>
    <mergeCell ref="N19:O19"/>
    <mergeCell ref="P19:Q19"/>
    <mergeCell ref="R19:S19"/>
    <mergeCell ref="B19:C19"/>
    <mergeCell ref="D19:E19"/>
    <mergeCell ref="F19:G19"/>
    <mergeCell ref="H19:I19"/>
    <mergeCell ref="J19:K19"/>
    <mergeCell ref="T19:U19"/>
    <mergeCell ref="V19:W19"/>
    <mergeCell ref="AN21:AO21"/>
    <mergeCell ref="N23:Q23"/>
    <mergeCell ref="R23:S24"/>
    <mergeCell ref="T23:U24"/>
    <mergeCell ref="V23:W24"/>
    <mergeCell ref="X23:Y24"/>
    <mergeCell ref="Z23:AA24"/>
    <mergeCell ref="AN23:AO23"/>
    <mergeCell ref="N24:O24"/>
    <mergeCell ref="P24:Q24"/>
    <mergeCell ref="V25:W25"/>
    <mergeCell ref="X25:Y25"/>
    <mergeCell ref="Z25:AA25"/>
    <mergeCell ref="N27:O27"/>
    <mergeCell ref="P27:Q27"/>
    <mergeCell ref="R27:S27"/>
    <mergeCell ref="T27:U27"/>
    <mergeCell ref="V27:W27"/>
    <mergeCell ref="X27:Y27"/>
    <mergeCell ref="Z27:AA27"/>
    <mergeCell ref="V28:W28"/>
    <mergeCell ref="X28:Y28"/>
    <mergeCell ref="Z28:AA28"/>
    <mergeCell ref="L31:M32"/>
    <mergeCell ref="N31:O32"/>
    <mergeCell ref="P31:Q32"/>
    <mergeCell ref="R31:S32"/>
    <mergeCell ref="T31:U32"/>
    <mergeCell ref="L33:M33"/>
    <mergeCell ref="N33:O33"/>
    <mergeCell ref="P33:Q33"/>
    <mergeCell ref="R33:S33"/>
    <mergeCell ref="T33:U33"/>
    <mergeCell ref="V33:W33"/>
    <mergeCell ref="X36:Y36"/>
    <mergeCell ref="Z36:AA36"/>
    <mergeCell ref="V31:W32"/>
    <mergeCell ref="X31:Y32"/>
    <mergeCell ref="Z31:AA32"/>
    <mergeCell ref="X33:Y33"/>
    <mergeCell ref="R37:S37"/>
    <mergeCell ref="T37:U37"/>
    <mergeCell ref="V37:W37"/>
    <mergeCell ref="Z33:AA33"/>
    <mergeCell ref="R36:S36"/>
    <mergeCell ref="T36:U36"/>
    <mergeCell ref="V36:W36"/>
    <mergeCell ref="X37:Y37"/>
    <mergeCell ref="Z37:AA37"/>
    <mergeCell ref="X34:Y34"/>
    <mergeCell ref="X35:Y35"/>
    <mergeCell ref="Z34:AA34"/>
    <mergeCell ref="Z35:AA35"/>
    <mergeCell ref="V38:W38"/>
    <mergeCell ref="X38:Y38"/>
    <mergeCell ref="Z38:AA38"/>
    <mergeCell ref="L37:M37"/>
    <mergeCell ref="N37:O37"/>
    <mergeCell ref="P37:Q37"/>
    <mergeCell ref="J37:K37"/>
    <mergeCell ref="D44:J44"/>
    <mergeCell ref="W44:Y44"/>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106" priority="51" stopIfTrue="1">
      <formula>$V$20=0</formula>
    </cfRule>
  </conditionalFormatting>
  <conditionalFormatting sqref="X20:Y20">
    <cfRule type="expression" dxfId="105" priority="50" stopIfTrue="1">
      <formula>$X$20=0</formula>
    </cfRule>
  </conditionalFormatting>
  <conditionalFormatting sqref="Z20:AA20">
    <cfRule type="expression" dxfId="104" priority="49" stopIfTrue="1">
      <formula>$Z$20=0</formula>
    </cfRule>
  </conditionalFormatting>
  <conditionalFormatting sqref="V28:W28">
    <cfRule type="expression" dxfId="103" priority="48" stopIfTrue="1">
      <formula>$V$28:$W$28=0</formula>
    </cfRule>
  </conditionalFormatting>
  <conditionalFormatting sqref="V38:W38">
    <cfRule type="expression" dxfId="102" priority="47" stopIfTrue="1">
      <formula>$V$38:$W$38=0</formula>
    </cfRule>
  </conditionalFormatting>
  <conditionalFormatting sqref="Y41:Z41">
    <cfRule type="expression" dxfId="101" priority="46" stopIfTrue="1">
      <formula>$Y$41=0</formula>
    </cfRule>
  </conditionalFormatting>
  <conditionalFormatting sqref="Q41:R41">
    <cfRule type="expression" dxfId="100" priority="45" stopIfTrue="1">
      <formula>$Q$41=0</formula>
    </cfRule>
  </conditionalFormatting>
  <conditionalFormatting sqref="U41:V41">
    <cfRule type="expression" dxfId="99" priority="44" stopIfTrue="1">
      <formula>$U$41=0</formula>
    </cfRule>
  </conditionalFormatting>
  <conditionalFormatting sqref="L41:N41">
    <cfRule type="expression" dxfId="98" priority="43" stopIfTrue="1">
      <formula>$L$41=0</formula>
    </cfRule>
  </conditionalFormatting>
  <conditionalFormatting sqref="X8:Y8">
    <cfRule type="expression" dxfId="97" priority="41" stopIfTrue="1">
      <formula>#VALUE!</formula>
    </cfRule>
    <cfRule type="expression" dxfId="96" priority="42" stopIfTrue="1">
      <formula>#VALUE!</formula>
    </cfRule>
  </conditionalFormatting>
  <conditionalFormatting sqref="X19:Y19">
    <cfRule type="expression" dxfId="95" priority="40" stopIfTrue="1">
      <formula>#VALUE!</formula>
    </cfRule>
  </conditionalFormatting>
  <conditionalFormatting sqref="X8:Y8">
    <cfRule type="expression" dxfId="94" priority="28" stopIfTrue="1">
      <formula>#VALUE!</formula>
    </cfRule>
    <cfRule type="expression" dxfId="93" priority="29" stopIfTrue="1">
      <formula>#VALUE!</formula>
    </cfRule>
  </conditionalFormatting>
  <conditionalFormatting sqref="X19:Y19">
    <cfRule type="expression" dxfId="92" priority="27" stopIfTrue="1">
      <formula>#VALUE!</formula>
    </cfRule>
  </conditionalFormatting>
  <conditionalFormatting sqref="X28:Y28">
    <cfRule type="expression" dxfId="91" priority="26" stopIfTrue="1">
      <formula>$X$28:$Y$28=0</formula>
    </cfRule>
  </conditionalFormatting>
  <conditionalFormatting sqref="Z28:AA28">
    <cfRule type="expression" dxfId="90" priority="25" stopIfTrue="1">
      <formula>$Z$28:$AA$28=0</formula>
    </cfRule>
  </conditionalFormatting>
  <conditionalFormatting sqref="X38:Y38">
    <cfRule type="expression" dxfId="89" priority="24" stopIfTrue="1">
      <formula>$X$38:$Y$38=0</formula>
    </cfRule>
  </conditionalFormatting>
  <conditionalFormatting sqref="Z38:AA38">
    <cfRule type="expression" dxfId="88" priority="23" stopIfTrue="1">
      <formula>$Z$38:$AA$38=0</formula>
    </cfRule>
  </conditionalFormatting>
  <conditionalFormatting sqref="P8:U8">
    <cfRule type="expression" dxfId="87" priority="12" stopIfTrue="1">
      <formula>$AG$8=TRUE</formula>
    </cfRule>
  </conditionalFormatting>
  <conditionalFormatting sqref="P15:U15">
    <cfRule type="expression" dxfId="86" priority="11" stopIfTrue="1">
      <formula>$AG$15=TRUE</formula>
    </cfRule>
  </conditionalFormatting>
  <conditionalFormatting sqref="P16:U16">
    <cfRule type="expression" dxfId="85" priority="10" stopIfTrue="1">
      <formula>$AG$16=TRUE</formula>
    </cfRule>
  </conditionalFormatting>
  <conditionalFormatting sqref="P17:U17">
    <cfRule type="expression" dxfId="84" priority="9" stopIfTrue="1">
      <formula>$AG$17=TRUE</formula>
    </cfRule>
  </conditionalFormatting>
  <conditionalFormatting sqref="P18:U18">
    <cfRule type="expression" dxfId="83" priority="8" stopIfTrue="1">
      <formula>$AG$18=TRUE</formula>
    </cfRule>
  </conditionalFormatting>
  <conditionalFormatting sqref="P19:U19">
    <cfRule type="expression" dxfId="82" priority="7" stopIfTrue="1">
      <formula>$AG$19=TRUE</formula>
    </cfRule>
  </conditionalFormatting>
  <conditionalFormatting sqref="P10:U10">
    <cfRule type="expression" dxfId="81" priority="6" stopIfTrue="1">
      <formula>$AG$10=TRUE</formula>
    </cfRule>
  </conditionalFormatting>
  <conditionalFormatting sqref="P11:U11">
    <cfRule type="expression" dxfId="80" priority="5" stopIfTrue="1">
      <formula>$AG$11=TRUE</formula>
    </cfRule>
  </conditionalFormatting>
  <conditionalFormatting sqref="P14:U14">
    <cfRule type="expression" dxfId="79" priority="4" stopIfTrue="1">
      <formula>$AG$14=TRUE</formula>
    </cfRule>
  </conditionalFormatting>
  <conditionalFormatting sqref="P9:U9">
    <cfRule type="expression" dxfId="78" priority="3" stopIfTrue="1">
      <formula>$AG$9=TRUE</formula>
    </cfRule>
  </conditionalFormatting>
  <conditionalFormatting sqref="P12:U12">
    <cfRule type="expression" dxfId="77" priority="2">
      <formula>$AG$12=TRUE</formula>
    </cfRule>
  </conditionalFormatting>
  <conditionalFormatting sqref="P13:U13">
    <cfRule type="expression" dxfId="76" priority="1">
      <formula>$AG$13=TRUE</formula>
    </cfRule>
  </conditionalFormatting>
  <dataValidations count="1">
    <dataValidation type="list" allowBlank="1" showInputMessage="1" showErrorMessage="1" sqref="M14:M19 L8:L19 M8:M11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102405"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102406"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102407"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102408"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102409"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102410"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102422" r:id="rId14" name="Check Box 22">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102423" r:id="rId15" name="Check Box 23">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102424" r:id="rId16" name="Check Box 24">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102433" r:id="rId17" name="Check Box 33">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102435" r:id="rId18" name="Check Box 35">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102436" r:id="rId19" name="Check Box 36">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102437" r:id="rId20" name="Check Box 37">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B1:AO106"/>
  <sheetViews>
    <sheetView showGridLines="0" view="pageBreakPreview" topLeftCell="A21" zoomScaleNormal="100" zoomScaleSheetLayoutView="100" workbookViewId="0">
      <selection activeCell="R33" sqref="R33:S33"/>
    </sheetView>
  </sheetViews>
  <sheetFormatPr defaultColWidth="9" defaultRowHeight="13.2" x14ac:dyDescent="0.2"/>
  <cols>
    <col min="1" max="1" width="0.88671875" style="52" customWidth="1"/>
    <col min="2" max="29" width="3.88671875" style="52" customWidth="1"/>
    <col min="30" max="31" width="10.6640625" style="52" hidden="1" customWidth="1"/>
    <col min="32" max="32" width="2.6640625" style="52" hidden="1" customWidth="1"/>
    <col min="33" max="35" width="10.6640625" style="52" hidden="1" customWidth="1"/>
    <col min="36" max="36" width="2.6640625" style="52" hidden="1" customWidth="1"/>
    <col min="37" max="38" width="15.6640625" style="52" hidden="1" customWidth="1"/>
    <col min="39" max="39" width="2.6640625" style="52" hidden="1" customWidth="1"/>
    <col min="40" max="41" width="10.6640625" style="52" hidden="1" customWidth="1"/>
    <col min="42" max="43" width="3.6640625" style="52" customWidth="1"/>
    <col min="44" max="49" width="4.6640625" style="52" customWidth="1"/>
    <col min="50" max="16384" width="9" style="52"/>
  </cols>
  <sheetData>
    <row r="1" spans="2:41" ht="3.9" customHeight="1" x14ac:dyDescent="0.2"/>
    <row r="2" spans="2:41" s="36" customFormat="1" ht="30" customHeight="1" x14ac:dyDescent="0.2">
      <c r="B2" s="216" t="s">
        <v>114</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row>
    <row r="3" spans="2:41" s="37" customFormat="1" ht="24.9" customHeight="1" thickBot="1" x14ac:dyDescent="0.25"/>
    <row r="4" spans="2:41" s="37" customFormat="1" ht="21.9" customHeight="1" thickBot="1" x14ac:dyDescent="0.25">
      <c r="B4" s="38" t="s">
        <v>5</v>
      </c>
      <c r="R4" s="217" t="s">
        <v>35</v>
      </c>
      <c r="S4" s="218"/>
      <c r="T4" s="218"/>
      <c r="U4" s="219"/>
      <c r="V4" s="359">
        <f>IF(共通条件・結果!AA7="８地域","0.505",IF(共通条件・結果!AA7="７地域",0.495,IF(共通条件・結果!AA7="６地域",0.504,IF(共通条件・結果!AA7="５地域",0.518,IF(共通条件・結果!AA7="４地域",0.481,IF(共通条件・結果!AA7="３地域",0.553,IF(共通条件・結果!AA7="２地域",0.529,IF(共通条件・結果!AA7="１地域",0.508))))))))</f>
        <v>0.52900000000000003</v>
      </c>
      <c r="W4" s="360"/>
      <c r="X4" s="359">
        <f>IF(共通条件・結果!AA7="８地域","-",IF(共通条件・結果!AA7="７地域",0.548,IF(共通条件・結果!AA7="６地域",0.523,IF(共通条件・結果!AA7="５地域",0.538,IF(共通条件・結果!AA7="４地域",0.527,IF(共通条件・結果!AA7="３地域",0.542,IF(共通条件・結果!AA7="２地域",0.544,IF(共通条件・結果!AA7="１地域",0.535))))))))</f>
        <v>0.54400000000000004</v>
      </c>
      <c r="Y4" s="360"/>
    </row>
    <row r="5" spans="2:41" s="37" customFormat="1" ht="21.9" customHeight="1" x14ac:dyDescent="0.2">
      <c r="B5" s="224" t="s">
        <v>6</v>
      </c>
      <c r="C5" s="225"/>
      <c r="D5" s="225" t="s">
        <v>91</v>
      </c>
      <c r="E5" s="225"/>
      <c r="F5" s="225"/>
      <c r="G5" s="225"/>
      <c r="H5" s="225" t="s">
        <v>7</v>
      </c>
      <c r="I5" s="225"/>
      <c r="J5" s="240" t="s">
        <v>99</v>
      </c>
      <c r="K5" s="225"/>
      <c r="L5" s="240" t="s">
        <v>10</v>
      </c>
      <c r="M5" s="225"/>
      <c r="N5" s="248" t="s">
        <v>71</v>
      </c>
      <c r="O5" s="249"/>
      <c r="P5" s="249"/>
      <c r="Q5" s="249"/>
      <c r="R5" s="249"/>
      <c r="S5" s="249"/>
      <c r="T5" s="249"/>
      <c r="U5" s="249"/>
      <c r="V5" s="240" t="s">
        <v>66</v>
      </c>
      <c r="W5" s="225"/>
      <c r="X5" s="240" t="s">
        <v>67</v>
      </c>
      <c r="Y5" s="225"/>
      <c r="Z5" s="225" t="s">
        <v>13</v>
      </c>
      <c r="AA5" s="242"/>
    </row>
    <row r="6" spans="2:41" s="37" customFormat="1" ht="21.9" customHeight="1" x14ac:dyDescent="0.2">
      <c r="B6" s="226"/>
      <c r="C6" s="227"/>
      <c r="D6" s="230" t="s">
        <v>9</v>
      </c>
      <c r="E6" s="231"/>
      <c r="F6" s="234" t="s">
        <v>8</v>
      </c>
      <c r="G6" s="235"/>
      <c r="H6" s="227"/>
      <c r="I6" s="227"/>
      <c r="J6" s="241"/>
      <c r="K6" s="227"/>
      <c r="L6" s="241"/>
      <c r="M6" s="227"/>
      <c r="N6" s="236" t="s">
        <v>69</v>
      </c>
      <c r="O6" s="237"/>
      <c r="P6" s="245" t="s">
        <v>70</v>
      </c>
      <c r="Q6" s="246"/>
      <c r="R6" s="246"/>
      <c r="S6" s="246"/>
      <c r="T6" s="246"/>
      <c r="U6" s="247"/>
      <c r="V6" s="241"/>
      <c r="W6" s="227"/>
      <c r="X6" s="241"/>
      <c r="Y6" s="227"/>
      <c r="Z6" s="227"/>
      <c r="AA6" s="243"/>
      <c r="AD6" s="250" t="s">
        <v>74</v>
      </c>
      <c r="AE6" s="250"/>
      <c r="AF6" s="39"/>
      <c r="AG6" s="39"/>
      <c r="AH6" s="250" t="s">
        <v>14</v>
      </c>
      <c r="AI6" s="250"/>
      <c r="AJ6" s="39"/>
      <c r="AK6" s="250" t="s">
        <v>75</v>
      </c>
      <c r="AL6" s="250"/>
      <c r="AN6" s="250" t="s">
        <v>89</v>
      </c>
      <c r="AO6" s="250"/>
    </row>
    <row r="7" spans="2:41" s="37" customFormat="1" ht="21.9" customHeight="1" thickBot="1" x14ac:dyDescent="0.25">
      <c r="B7" s="228"/>
      <c r="C7" s="229"/>
      <c r="D7" s="232"/>
      <c r="E7" s="233"/>
      <c r="F7" s="198"/>
      <c r="G7" s="196"/>
      <c r="H7" s="229"/>
      <c r="I7" s="229"/>
      <c r="J7" s="229"/>
      <c r="K7" s="229"/>
      <c r="L7" s="229"/>
      <c r="M7" s="229"/>
      <c r="N7" s="238"/>
      <c r="O7" s="239"/>
      <c r="P7" s="196" t="s">
        <v>11</v>
      </c>
      <c r="Q7" s="253"/>
      <c r="R7" s="254" t="s">
        <v>12</v>
      </c>
      <c r="S7" s="255"/>
      <c r="T7" s="196" t="s">
        <v>3</v>
      </c>
      <c r="U7" s="253"/>
      <c r="V7" s="229"/>
      <c r="W7" s="229"/>
      <c r="X7" s="229"/>
      <c r="Y7" s="229"/>
      <c r="Z7" s="229"/>
      <c r="AA7" s="244"/>
      <c r="AD7" s="39" t="s">
        <v>4</v>
      </c>
      <c r="AE7" s="39" t="s">
        <v>18</v>
      </c>
      <c r="AF7" s="39"/>
      <c r="AG7" s="39"/>
      <c r="AH7" s="39" t="s">
        <v>4</v>
      </c>
      <c r="AI7" s="39" t="s">
        <v>18</v>
      </c>
      <c r="AJ7" s="39"/>
      <c r="AK7" s="39" t="s">
        <v>4</v>
      </c>
      <c r="AL7" s="39" t="s">
        <v>18</v>
      </c>
      <c r="AN7" s="97" t="s">
        <v>87</v>
      </c>
      <c r="AO7" s="37" t="s">
        <v>85</v>
      </c>
    </row>
    <row r="8" spans="2:41" s="37" customFormat="1" ht="21.9" customHeight="1" x14ac:dyDescent="0.2">
      <c r="B8" s="183" t="s">
        <v>254</v>
      </c>
      <c r="C8" s="263"/>
      <c r="D8" s="207">
        <v>0.78</v>
      </c>
      <c r="E8" s="208"/>
      <c r="F8" s="209">
        <v>0.56999999999999995</v>
      </c>
      <c r="G8" s="210"/>
      <c r="H8" s="267">
        <v>1.6</v>
      </c>
      <c r="I8" s="267"/>
      <c r="J8" s="267">
        <v>0.39</v>
      </c>
      <c r="K8" s="267"/>
      <c r="L8" s="268"/>
      <c r="M8" s="268"/>
      <c r="N8" s="251"/>
      <c r="O8" s="252"/>
      <c r="P8" s="257"/>
      <c r="Q8" s="258"/>
      <c r="R8" s="259"/>
      <c r="S8" s="260"/>
      <c r="T8" s="261"/>
      <c r="U8" s="257"/>
      <c r="V8" s="256">
        <f>IF(D8="","",AD8)</f>
        <v>8.5304646179999999E-2</v>
      </c>
      <c r="W8" s="256"/>
      <c r="X8" s="256">
        <f t="shared" ref="X8:X19" si="0">IF(D8="","",IF(ISERROR(AE8),"-",AE8))</f>
        <v>4.810643136E-2</v>
      </c>
      <c r="Y8" s="256"/>
      <c r="Z8" s="256">
        <f>IF(D8="","",D8*F8*AN8)</f>
        <v>0.71135999999999999</v>
      </c>
      <c r="AA8" s="262"/>
      <c r="AD8" s="37">
        <f>D8*F8*J8*$V$4*AH8</f>
        <v>8.5304646179999999E-2</v>
      </c>
      <c r="AE8" s="37">
        <f>D8*F8*J8*$X$4*AI8</f>
        <v>4.810643136E-2</v>
      </c>
      <c r="AG8" s="40" t="b">
        <v>1</v>
      </c>
      <c r="AH8" s="37" t="str">
        <f>IF(AG8=TRUE,"0.93",IF(ISERROR(AK8),"エラー",IF(AK8&gt;0.93,"0.93",AK8)))</f>
        <v>0.93</v>
      </c>
      <c r="AI8" s="37" t="str">
        <f>IF(AG8=TRUE,"0.51",IF(ISERROR(AL8),"エラー",IF(AL8&gt;0.72,"0.72",AL8)))</f>
        <v>0.51</v>
      </c>
      <c r="AK8" s="37" t="e">
        <f>0.01*(16+24*(2*R8+T8)/P8)</f>
        <v>#DIV/0!</v>
      </c>
      <c r="AL8" s="37" t="e">
        <f>0.01*(10+15*(2*R8+T8)/P8)</f>
        <v>#DIV/0!</v>
      </c>
      <c r="AN8" s="37">
        <f>IF(共通条件・結果!$AA$7="８地域",H8,IF(AO8="FALSE",H8,IF(L8="風除室",1/((1/H8)+0.1),0.5*H8+0.5*(1/((1/H8)+AO8)))))</f>
        <v>1.6</v>
      </c>
      <c r="AO8" s="39" t="str">
        <f t="shared" ref="AO8:AO19" si="1">IF(L8="","FALSE",IF(L8="雨戸",0.1,IF(L8="ｼｬｯﾀｰ",0.1,IF(L8="障子",0.18,IF(L8="風除室",0.1)))))</f>
        <v>FALSE</v>
      </c>
    </row>
    <row r="9" spans="2:41" s="37" customFormat="1" ht="21.9" customHeight="1" x14ac:dyDescent="0.2">
      <c r="B9" s="185"/>
      <c r="C9" s="186"/>
      <c r="D9" s="187"/>
      <c r="E9" s="188"/>
      <c r="F9" s="188"/>
      <c r="G9" s="189"/>
      <c r="H9" s="190"/>
      <c r="I9" s="190"/>
      <c r="J9" s="190"/>
      <c r="K9" s="190"/>
      <c r="L9" s="203" t="s">
        <v>65</v>
      </c>
      <c r="M9" s="203"/>
      <c r="N9" s="213"/>
      <c r="O9" s="215"/>
      <c r="P9" s="269"/>
      <c r="Q9" s="206"/>
      <c r="R9" s="270"/>
      <c r="S9" s="271"/>
      <c r="T9" s="179"/>
      <c r="U9" s="269"/>
      <c r="V9" s="175" t="str">
        <f t="shared" ref="V9:V19" si="2">IF(D9="","",AD9)</f>
        <v/>
      </c>
      <c r="W9" s="175"/>
      <c r="X9" s="175" t="str">
        <f t="shared" si="0"/>
        <v/>
      </c>
      <c r="Y9" s="175"/>
      <c r="Z9" s="175" t="str">
        <f t="shared" ref="Z9:Z19" si="3">IF(D9="","",D9*F9*AN9)</f>
        <v/>
      </c>
      <c r="AA9" s="176"/>
      <c r="AD9" s="37" t="e">
        <f t="shared" ref="AD9:AD19" si="4">D9*F9*J9*$V$4*AH9</f>
        <v>#VALUE!</v>
      </c>
      <c r="AE9" s="37" t="e">
        <f t="shared" ref="AE9:AE19" si="5">D9*F9*J9*$X$4*AI9</f>
        <v>#VALUE!</v>
      </c>
      <c r="AG9" s="40" t="b">
        <v>0</v>
      </c>
      <c r="AH9" s="37" t="str">
        <f t="shared" ref="AH9:AH19" si="6">IF(AG9=TRUE,"0.93",IF(ISERROR(AK9),"エラー",IF(AK9&gt;0.93,"0.93",AK9)))</f>
        <v>エラー</v>
      </c>
      <c r="AI9" s="37" t="str">
        <f t="shared" ref="AI9:AI19" si="7">IF(AG9=TRUE,"0.51",IF(ISERROR(AL9),"エラー",IF(AL9&gt;0.72,"0.72",AL9)))</f>
        <v>エラー</v>
      </c>
      <c r="AK9" s="37" t="e">
        <f t="shared" ref="AK9:AK19" si="8">0.01*(16+24*(2*R9+T9)/P9)</f>
        <v>#DIV/0!</v>
      </c>
      <c r="AL9" s="37" t="e">
        <f t="shared" ref="AL9:AL19" si="9">0.01*(10+15*(2*R9+T9)/P9)</f>
        <v>#DIV/0!</v>
      </c>
      <c r="AN9" s="37" t="e">
        <f>IF(共通条件・結果!$AA$7="８地域",H9,IF(AO9="FALSE",H9,IF(L9="風除室",1/((1/H9)+0.1),0.5*H9+0.5*(1/((1/H9)+AO9)))))</f>
        <v>#DIV/0!</v>
      </c>
      <c r="AO9" s="39" t="b">
        <f t="shared" si="1"/>
        <v>0</v>
      </c>
    </row>
    <row r="10" spans="2:41" s="37" customFormat="1" ht="21.9" customHeight="1" x14ac:dyDescent="0.2">
      <c r="B10" s="185"/>
      <c r="C10" s="186"/>
      <c r="D10" s="187"/>
      <c r="E10" s="188"/>
      <c r="F10" s="188"/>
      <c r="G10" s="189"/>
      <c r="H10" s="190"/>
      <c r="I10" s="190"/>
      <c r="J10" s="190"/>
      <c r="K10" s="190"/>
      <c r="L10" s="203" t="s">
        <v>65</v>
      </c>
      <c r="M10" s="203"/>
      <c r="N10" s="213"/>
      <c r="O10" s="215"/>
      <c r="P10" s="206"/>
      <c r="Q10" s="178"/>
      <c r="R10" s="177"/>
      <c r="S10" s="178"/>
      <c r="T10" s="177"/>
      <c r="U10" s="179"/>
      <c r="V10" s="175" t="str">
        <f t="shared" si="2"/>
        <v/>
      </c>
      <c r="W10" s="175"/>
      <c r="X10" s="175" t="str">
        <f t="shared" si="0"/>
        <v/>
      </c>
      <c r="Y10" s="175"/>
      <c r="Z10" s="175" t="str">
        <f t="shared" si="3"/>
        <v/>
      </c>
      <c r="AA10" s="176"/>
      <c r="AD10" s="37" t="e">
        <f t="shared" si="4"/>
        <v>#VALUE!</v>
      </c>
      <c r="AE10" s="37" t="e">
        <f t="shared" si="5"/>
        <v>#VALUE!</v>
      </c>
      <c r="AG10" s="40" t="b">
        <v>0</v>
      </c>
      <c r="AH10" s="37" t="str">
        <f t="shared" si="6"/>
        <v>エラー</v>
      </c>
      <c r="AI10" s="37" t="str">
        <f t="shared" si="7"/>
        <v>エラー</v>
      </c>
      <c r="AK10" s="37" t="e">
        <f t="shared" si="8"/>
        <v>#DIV/0!</v>
      </c>
      <c r="AL10" s="37" t="e">
        <f t="shared" si="9"/>
        <v>#DIV/0!</v>
      </c>
      <c r="AN10" s="37" t="e">
        <f>IF(共通条件・結果!$AA$7="８地域",H10,IF(AO10="FALSE",H10,IF(L10="風除室",1/((1/H10)+0.1),0.5*H10+0.5*(1/((1/H10)+AO10)))))</f>
        <v>#DIV/0!</v>
      </c>
      <c r="AO10" s="39" t="b">
        <f t="shared" si="1"/>
        <v>0</v>
      </c>
    </row>
    <row r="11" spans="2:41" s="37" customFormat="1" ht="21.9" customHeight="1" x14ac:dyDescent="0.2">
      <c r="B11" s="185"/>
      <c r="C11" s="186"/>
      <c r="D11" s="187"/>
      <c r="E11" s="188"/>
      <c r="F11" s="188"/>
      <c r="G11" s="189"/>
      <c r="H11" s="190"/>
      <c r="I11" s="190"/>
      <c r="J11" s="190"/>
      <c r="K11" s="190"/>
      <c r="L11" s="203" t="s">
        <v>65</v>
      </c>
      <c r="M11" s="203"/>
      <c r="N11" s="213"/>
      <c r="O11" s="215"/>
      <c r="P11" s="206"/>
      <c r="Q11" s="178"/>
      <c r="R11" s="177"/>
      <c r="S11" s="178"/>
      <c r="T11" s="177"/>
      <c r="U11" s="179"/>
      <c r="V11" s="175" t="str">
        <f t="shared" si="2"/>
        <v/>
      </c>
      <c r="W11" s="175"/>
      <c r="X11" s="175" t="str">
        <f t="shared" si="0"/>
        <v/>
      </c>
      <c r="Y11" s="175"/>
      <c r="Z11" s="175" t="str">
        <f t="shared" si="3"/>
        <v/>
      </c>
      <c r="AA11" s="176"/>
      <c r="AD11" s="37" t="e">
        <f t="shared" si="4"/>
        <v>#VALUE!</v>
      </c>
      <c r="AE11" s="37" t="e">
        <f t="shared" si="5"/>
        <v>#VALUE!</v>
      </c>
      <c r="AG11" s="40" t="b">
        <v>0</v>
      </c>
      <c r="AH11" s="37" t="str">
        <f t="shared" si="6"/>
        <v>エラー</v>
      </c>
      <c r="AI11" s="37" t="str">
        <f t="shared" si="7"/>
        <v>エラー</v>
      </c>
      <c r="AK11" s="37" t="e">
        <f t="shared" si="8"/>
        <v>#DIV/0!</v>
      </c>
      <c r="AL11" s="37" t="e">
        <f t="shared" si="9"/>
        <v>#DIV/0!</v>
      </c>
      <c r="AN11" s="37" t="e">
        <f>IF(共通条件・結果!$AA$7="８地域",H11,IF(AO11="FALSE",H11,IF(L11="風除室",1/((1/H11)+0.1),0.5*H11+0.5*(1/((1/H11)+AO11)))))</f>
        <v>#DIV/0!</v>
      </c>
      <c r="AO11" s="39" t="b">
        <f t="shared" si="1"/>
        <v>0</v>
      </c>
    </row>
    <row r="12" spans="2:41" s="37" customFormat="1" ht="21.9" customHeight="1" x14ac:dyDescent="0.2">
      <c r="B12" s="185"/>
      <c r="C12" s="205"/>
      <c r="D12" s="207"/>
      <c r="E12" s="208"/>
      <c r="F12" s="209"/>
      <c r="G12" s="210"/>
      <c r="H12" s="207"/>
      <c r="I12" s="210"/>
      <c r="J12" s="207"/>
      <c r="K12" s="210"/>
      <c r="L12" s="211"/>
      <c r="M12" s="212"/>
      <c r="N12" s="213"/>
      <c r="O12" s="214"/>
      <c r="P12" s="206"/>
      <c r="Q12" s="178"/>
      <c r="R12" s="177"/>
      <c r="S12" s="178"/>
      <c r="T12" s="177"/>
      <c r="U12" s="179"/>
      <c r="V12" s="180" t="str">
        <f t="shared" ref="V12:V13" si="10">IF(D12="","",AD12)</f>
        <v/>
      </c>
      <c r="W12" s="181"/>
      <c r="X12" s="180" t="str">
        <f t="shared" ref="X12:X13" si="11">IF(D12="","",IF(ISERROR(AE12),"-",AE12))</f>
        <v/>
      </c>
      <c r="Y12" s="181"/>
      <c r="Z12" s="180" t="str">
        <f t="shared" ref="Z12:Z13" si="12">IF(D12="","",D12*F12*AN12)</f>
        <v/>
      </c>
      <c r="AA12" s="182"/>
      <c r="AD12" s="37" t="e">
        <f t="shared" ref="AD12:AD13" si="13">D12*F12*J12*$V$4*AH12</f>
        <v>#VALUE!</v>
      </c>
      <c r="AE12" s="37" t="e">
        <f t="shared" ref="AE12:AE13" si="14">D12*F12*J12*$X$4*AI12</f>
        <v>#VALUE!</v>
      </c>
      <c r="AG12" s="40" t="b">
        <v>0</v>
      </c>
      <c r="AH12" s="37" t="str">
        <f t="shared" ref="AH12:AH13" si="15">IF(AG12=TRUE,"0.93",IF(ISERROR(AK12),"エラー",IF(AK12&gt;0.93,"0.93",AK12)))</f>
        <v>エラー</v>
      </c>
      <c r="AI12" s="37" t="str">
        <f t="shared" ref="AI12:AI13" si="16">IF(AG12=TRUE,"0.51",IF(ISERROR(AL12),"エラー",IF(AL12&gt;0.72,"0.72",AL12)))</f>
        <v>エラー</v>
      </c>
      <c r="AK12" s="37" t="e">
        <f t="shared" ref="AK12:AK13" si="17">0.01*(16+24*(2*R12+T12)/P12)</f>
        <v>#DIV/0!</v>
      </c>
      <c r="AL12" s="37" t="e">
        <f t="shared" ref="AL12:AL13" si="18">0.01*(10+15*(2*R12+T12)/P12)</f>
        <v>#DIV/0!</v>
      </c>
      <c r="AN12" s="37">
        <f>IF(共通条件・結果!$AA$7="８地域",H12,IF(AO12="FALSE",H12,IF(L12="風除室",1/((1/H12)+0.1),0.5*H12+0.5*(1/((1/H12)+AO12)))))</f>
        <v>0</v>
      </c>
      <c r="AO12" s="95" t="str">
        <f t="shared" ref="AO12:AO13" si="19">IF(L12="","FALSE",IF(L12="雨戸",0.1,IF(L12="ｼｬｯﾀｰ",0.1,IF(L12="障子",0.18,IF(L12="風除室",0.1)))))</f>
        <v>FALSE</v>
      </c>
    </row>
    <row r="13" spans="2:41" s="37" customFormat="1" ht="21.9" customHeight="1" x14ac:dyDescent="0.2">
      <c r="B13" s="185"/>
      <c r="C13" s="186"/>
      <c r="D13" s="207"/>
      <c r="E13" s="208"/>
      <c r="F13" s="209"/>
      <c r="G13" s="210"/>
      <c r="H13" s="207"/>
      <c r="I13" s="210"/>
      <c r="J13" s="207"/>
      <c r="K13" s="210"/>
      <c r="L13" s="211"/>
      <c r="M13" s="212"/>
      <c r="N13" s="213"/>
      <c r="O13" s="214"/>
      <c r="P13" s="206"/>
      <c r="Q13" s="178"/>
      <c r="R13" s="177"/>
      <c r="S13" s="178"/>
      <c r="T13" s="177"/>
      <c r="U13" s="179"/>
      <c r="V13" s="180" t="str">
        <f t="shared" si="10"/>
        <v/>
      </c>
      <c r="W13" s="181"/>
      <c r="X13" s="180" t="str">
        <f t="shared" si="11"/>
        <v/>
      </c>
      <c r="Y13" s="181"/>
      <c r="Z13" s="180" t="str">
        <f t="shared" si="12"/>
        <v/>
      </c>
      <c r="AA13" s="182"/>
      <c r="AD13" s="37" t="e">
        <f t="shared" si="13"/>
        <v>#VALUE!</v>
      </c>
      <c r="AE13" s="37" t="e">
        <f t="shared" si="14"/>
        <v>#VALUE!</v>
      </c>
      <c r="AG13" s="40" t="b">
        <v>0</v>
      </c>
      <c r="AH13" s="37" t="str">
        <f t="shared" si="15"/>
        <v>エラー</v>
      </c>
      <c r="AI13" s="37" t="str">
        <f t="shared" si="16"/>
        <v>エラー</v>
      </c>
      <c r="AK13" s="37" t="e">
        <f t="shared" si="17"/>
        <v>#DIV/0!</v>
      </c>
      <c r="AL13" s="37" t="e">
        <f t="shared" si="18"/>
        <v>#DIV/0!</v>
      </c>
      <c r="AN13" s="37">
        <f>IF(共通条件・結果!$AA$7="８地域",H13,IF(AO13="FALSE",H13,IF(L13="風除室",1/((1/H13)+0.1),0.5*H13+0.5*(1/((1/H13)+AO13)))))</f>
        <v>0</v>
      </c>
      <c r="AO13" s="95" t="str">
        <f t="shared" si="19"/>
        <v>FALSE</v>
      </c>
    </row>
    <row r="14" spans="2:41" s="37" customFormat="1" ht="21.9" customHeight="1" x14ac:dyDescent="0.2">
      <c r="B14" s="185"/>
      <c r="C14" s="205"/>
      <c r="D14" s="187"/>
      <c r="E14" s="188"/>
      <c r="F14" s="188"/>
      <c r="G14" s="189"/>
      <c r="H14" s="190"/>
      <c r="I14" s="190"/>
      <c r="J14" s="190"/>
      <c r="K14" s="190"/>
      <c r="L14" s="203" t="s">
        <v>65</v>
      </c>
      <c r="M14" s="203"/>
      <c r="N14" s="213"/>
      <c r="O14" s="215"/>
      <c r="P14" s="206"/>
      <c r="Q14" s="178"/>
      <c r="R14" s="177"/>
      <c r="S14" s="178"/>
      <c r="T14" s="177"/>
      <c r="U14" s="179"/>
      <c r="V14" s="175" t="str">
        <f t="shared" si="2"/>
        <v/>
      </c>
      <c r="W14" s="175"/>
      <c r="X14" s="175" t="str">
        <f t="shared" si="0"/>
        <v/>
      </c>
      <c r="Y14" s="175"/>
      <c r="Z14" s="175" t="str">
        <f t="shared" si="3"/>
        <v/>
      </c>
      <c r="AA14" s="176"/>
      <c r="AD14" s="37" t="e">
        <f t="shared" si="4"/>
        <v>#VALUE!</v>
      </c>
      <c r="AE14" s="37" t="e">
        <f t="shared" si="5"/>
        <v>#VALUE!</v>
      </c>
      <c r="AG14" s="40" t="b">
        <v>0</v>
      </c>
      <c r="AH14" s="37" t="str">
        <f t="shared" si="6"/>
        <v>エラー</v>
      </c>
      <c r="AI14" s="37" t="str">
        <f t="shared" si="7"/>
        <v>エラー</v>
      </c>
      <c r="AK14" s="37" t="e">
        <f t="shared" si="8"/>
        <v>#DIV/0!</v>
      </c>
      <c r="AL14" s="37" t="e">
        <f t="shared" si="9"/>
        <v>#DIV/0!</v>
      </c>
      <c r="AN14" s="37" t="e">
        <f>IF(共通条件・結果!$AA$7="８地域",H14,IF(AO14="FALSE",H14,IF(L14="風除室",1/((1/H14)+0.1),0.5*H14+0.5*(1/((1/H14)+AO14)))))</f>
        <v>#DIV/0!</v>
      </c>
      <c r="AO14" s="39" t="b">
        <f t="shared" si="1"/>
        <v>0</v>
      </c>
    </row>
    <row r="15" spans="2:41" s="37" customFormat="1" ht="21.9" customHeight="1" x14ac:dyDescent="0.2">
      <c r="B15" s="185"/>
      <c r="C15" s="186"/>
      <c r="D15" s="187"/>
      <c r="E15" s="188"/>
      <c r="F15" s="188"/>
      <c r="G15" s="189"/>
      <c r="H15" s="190"/>
      <c r="I15" s="190"/>
      <c r="J15" s="190"/>
      <c r="K15" s="190"/>
      <c r="L15" s="203" t="s">
        <v>65</v>
      </c>
      <c r="M15" s="203"/>
      <c r="N15" s="213"/>
      <c r="O15" s="215"/>
      <c r="P15" s="206"/>
      <c r="Q15" s="178"/>
      <c r="R15" s="177"/>
      <c r="S15" s="178"/>
      <c r="T15" s="177"/>
      <c r="U15" s="179"/>
      <c r="V15" s="180" t="str">
        <f t="shared" si="2"/>
        <v/>
      </c>
      <c r="W15" s="181"/>
      <c r="X15" s="175" t="str">
        <f t="shared" si="0"/>
        <v/>
      </c>
      <c r="Y15" s="175"/>
      <c r="Z15" s="175" t="str">
        <f t="shared" si="3"/>
        <v/>
      </c>
      <c r="AA15" s="176"/>
      <c r="AD15" s="37" t="e">
        <f t="shared" si="4"/>
        <v>#VALUE!</v>
      </c>
      <c r="AE15" s="37" t="e">
        <f t="shared" si="5"/>
        <v>#VALUE!</v>
      </c>
      <c r="AG15" s="40" t="b">
        <v>0</v>
      </c>
      <c r="AH15" s="37" t="str">
        <f t="shared" si="6"/>
        <v>エラー</v>
      </c>
      <c r="AI15" s="37" t="str">
        <f t="shared" si="7"/>
        <v>エラー</v>
      </c>
      <c r="AK15" s="37" t="e">
        <f t="shared" si="8"/>
        <v>#DIV/0!</v>
      </c>
      <c r="AL15" s="37" t="e">
        <f t="shared" si="9"/>
        <v>#DIV/0!</v>
      </c>
      <c r="AN15" s="37" t="e">
        <f>IF(共通条件・結果!$AA$7="８地域",H15,IF(AO15="FALSE",H15,IF(L15="風除室",1/((1/H15)+0.1),0.5*H15+0.5*(1/((1/H15)+AO15)))))</f>
        <v>#DIV/0!</v>
      </c>
      <c r="AO15" s="39" t="b">
        <f t="shared" si="1"/>
        <v>0</v>
      </c>
    </row>
    <row r="16" spans="2:41" s="37" customFormat="1" ht="21.9" customHeight="1" x14ac:dyDescent="0.2">
      <c r="B16" s="185"/>
      <c r="C16" s="205"/>
      <c r="D16" s="187"/>
      <c r="E16" s="188"/>
      <c r="F16" s="188"/>
      <c r="G16" s="189"/>
      <c r="H16" s="190"/>
      <c r="I16" s="190"/>
      <c r="J16" s="190"/>
      <c r="K16" s="190"/>
      <c r="L16" s="203" t="s">
        <v>65</v>
      </c>
      <c r="M16" s="203"/>
      <c r="N16" s="213"/>
      <c r="O16" s="215"/>
      <c r="P16" s="206"/>
      <c r="Q16" s="178"/>
      <c r="R16" s="177"/>
      <c r="S16" s="178"/>
      <c r="T16" s="177"/>
      <c r="U16" s="179"/>
      <c r="V16" s="180" t="str">
        <f t="shared" si="2"/>
        <v/>
      </c>
      <c r="W16" s="181"/>
      <c r="X16" s="175" t="str">
        <f t="shared" si="0"/>
        <v/>
      </c>
      <c r="Y16" s="175"/>
      <c r="Z16" s="175" t="str">
        <f t="shared" si="3"/>
        <v/>
      </c>
      <c r="AA16" s="176"/>
      <c r="AD16" s="37" t="e">
        <f t="shared" si="4"/>
        <v>#VALUE!</v>
      </c>
      <c r="AE16" s="37" t="e">
        <f t="shared" si="5"/>
        <v>#VALUE!</v>
      </c>
      <c r="AG16" s="40" t="b">
        <v>0</v>
      </c>
      <c r="AH16" s="37" t="str">
        <f t="shared" si="6"/>
        <v>エラー</v>
      </c>
      <c r="AI16" s="37" t="str">
        <f t="shared" si="7"/>
        <v>エラー</v>
      </c>
      <c r="AK16" s="37" t="e">
        <f t="shared" si="8"/>
        <v>#DIV/0!</v>
      </c>
      <c r="AL16" s="37" t="e">
        <f t="shared" si="9"/>
        <v>#DIV/0!</v>
      </c>
      <c r="AN16" s="37" t="e">
        <f>IF(共通条件・結果!$AA$7="８地域",H16,IF(AO16="FALSE",H16,IF(L16="風除室",1/((1/H16)+0.1),0.5*H16+0.5*(1/((1/H16)+AO16)))))</f>
        <v>#DIV/0!</v>
      </c>
      <c r="AO16" s="39" t="b">
        <f t="shared" si="1"/>
        <v>0</v>
      </c>
    </row>
    <row r="17" spans="2:41" s="37" customFormat="1" ht="21.9" customHeight="1" x14ac:dyDescent="0.2">
      <c r="B17" s="185"/>
      <c r="C17" s="186"/>
      <c r="D17" s="187"/>
      <c r="E17" s="188"/>
      <c r="F17" s="188"/>
      <c r="G17" s="189"/>
      <c r="H17" s="190"/>
      <c r="I17" s="190"/>
      <c r="J17" s="190"/>
      <c r="K17" s="190"/>
      <c r="L17" s="203" t="s">
        <v>65</v>
      </c>
      <c r="M17" s="203"/>
      <c r="N17" s="213"/>
      <c r="O17" s="215"/>
      <c r="P17" s="269"/>
      <c r="Q17" s="206"/>
      <c r="R17" s="177"/>
      <c r="S17" s="178"/>
      <c r="T17" s="177"/>
      <c r="U17" s="179"/>
      <c r="V17" s="180" t="str">
        <f t="shared" si="2"/>
        <v/>
      </c>
      <c r="W17" s="181"/>
      <c r="X17" s="175" t="str">
        <f t="shared" si="0"/>
        <v/>
      </c>
      <c r="Y17" s="175"/>
      <c r="Z17" s="175" t="str">
        <f t="shared" si="3"/>
        <v/>
      </c>
      <c r="AA17" s="176"/>
      <c r="AD17" s="37" t="e">
        <f t="shared" si="4"/>
        <v>#VALUE!</v>
      </c>
      <c r="AE17" s="37" t="e">
        <f t="shared" si="5"/>
        <v>#VALUE!</v>
      </c>
      <c r="AG17" s="40" t="b">
        <v>0</v>
      </c>
      <c r="AH17" s="37" t="str">
        <f t="shared" si="6"/>
        <v>エラー</v>
      </c>
      <c r="AI17" s="37" t="str">
        <f t="shared" si="7"/>
        <v>エラー</v>
      </c>
      <c r="AK17" s="37" t="e">
        <f t="shared" si="8"/>
        <v>#DIV/0!</v>
      </c>
      <c r="AL17" s="37" t="e">
        <f t="shared" si="9"/>
        <v>#DIV/0!</v>
      </c>
      <c r="AN17" s="37" t="e">
        <f>IF(共通条件・結果!$AA$7="８地域",H17,IF(AO17="FALSE",H17,IF(L17="風除室",1/((1/H17)+0.1),0.5*H17+0.5*(1/((1/H17)+AO17)))))</f>
        <v>#DIV/0!</v>
      </c>
      <c r="AO17" s="39" t="b">
        <f t="shared" si="1"/>
        <v>0</v>
      </c>
    </row>
    <row r="18" spans="2:41" s="37" customFormat="1" ht="21.9" customHeight="1" x14ac:dyDescent="0.2">
      <c r="B18" s="185"/>
      <c r="C18" s="205"/>
      <c r="D18" s="187"/>
      <c r="E18" s="188"/>
      <c r="F18" s="188"/>
      <c r="G18" s="189"/>
      <c r="H18" s="190"/>
      <c r="I18" s="190"/>
      <c r="J18" s="190"/>
      <c r="K18" s="190"/>
      <c r="L18" s="203" t="s">
        <v>65</v>
      </c>
      <c r="M18" s="203"/>
      <c r="N18" s="213"/>
      <c r="O18" s="215"/>
      <c r="P18" s="269"/>
      <c r="Q18" s="206"/>
      <c r="R18" s="270"/>
      <c r="S18" s="271"/>
      <c r="T18" s="179"/>
      <c r="U18" s="269"/>
      <c r="V18" s="180" t="str">
        <f t="shared" si="2"/>
        <v/>
      </c>
      <c r="W18" s="181"/>
      <c r="X18" s="175" t="str">
        <f t="shared" si="0"/>
        <v/>
      </c>
      <c r="Y18" s="175"/>
      <c r="Z18" s="175" t="str">
        <f t="shared" si="3"/>
        <v/>
      </c>
      <c r="AA18" s="176"/>
      <c r="AD18" s="37" t="e">
        <f t="shared" si="4"/>
        <v>#VALUE!</v>
      </c>
      <c r="AE18" s="37" t="e">
        <f t="shared" si="5"/>
        <v>#VALUE!</v>
      </c>
      <c r="AG18" s="40" t="b">
        <v>0</v>
      </c>
      <c r="AH18" s="37" t="str">
        <f t="shared" si="6"/>
        <v>エラー</v>
      </c>
      <c r="AI18" s="37" t="str">
        <f t="shared" si="7"/>
        <v>エラー</v>
      </c>
      <c r="AK18" s="37" t="e">
        <f t="shared" si="8"/>
        <v>#DIV/0!</v>
      </c>
      <c r="AL18" s="37" t="e">
        <f t="shared" si="9"/>
        <v>#DIV/0!</v>
      </c>
      <c r="AN18" s="37" t="e">
        <f>IF(共通条件・結果!$AA$7="８地域",H18,IF(AO18="FALSE",H18,IF(L18="風除室",1/((1/H18)+0.1),0.5*H18+0.5*(1/((1/H18)+AO18)))))</f>
        <v>#DIV/0!</v>
      </c>
      <c r="AO18" s="39" t="b">
        <f t="shared" si="1"/>
        <v>0</v>
      </c>
    </row>
    <row r="19" spans="2:41" s="37" customFormat="1" ht="21.9" customHeight="1" thickBot="1" x14ac:dyDescent="0.25">
      <c r="B19" s="200"/>
      <c r="C19" s="289"/>
      <c r="D19" s="290"/>
      <c r="E19" s="191"/>
      <c r="F19" s="191"/>
      <c r="G19" s="192"/>
      <c r="H19" s="279"/>
      <c r="I19" s="279"/>
      <c r="J19" s="279"/>
      <c r="K19" s="279"/>
      <c r="L19" s="268" t="s">
        <v>65</v>
      </c>
      <c r="M19" s="268"/>
      <c r="N19" s="272"/>
      <c r="O19" s="273"/>
      <c r="P19" s="274"/>
      <c r="Q19" s="275"/>
      <c r="R19" s="276"/>
      <c r="S19" s="277"/>
      <c r="T19" s="278"/>
      <c r="U19" s="274"/>
      <c r="V19" s="180" t="str">
        <f t="shared" si="2"/>
        <v/>
      </c>
      <c r="W19" s="181"/>
      <c r="X19" s="175" t="str">
        <f t="shared" si="0"/>
        <v/>
      </c>
      <c r="Y19" s="175"/>
      <c r="Z19" s="283" t="str">
        <f t="shared" si="3"/>
        <v/>
      </c>
      <c r="AA19" s="284"/>
      <c r="AD19" s="37" t="e">
        <f t="shared" si="4"/>
        <v>#VALUE!</v>
      </c>
      <c r="AE19" s="37" t="e">
        <f t="shared" si="5"/>
        <v>#VALUE!</v>
      </c>
      <c r="AG19" s="40" t="b">
        <v>0</v>
      </c>
      <c r="AH19" s="37" t="str">
        <f t="shared" si="6"/>
        <v>エラー</v>
      </c>
      <c r="AI19" s="37" t="str">
        <f t="shared" si="7"/>
        <v>エラー</v>
      </c>
      <c r="AK19" s="37" t="e">
        <f t="shared" si="8"/>
        <v>#DIV/0!</v>
      </c>
      <c r="AL19" s="37" t="e">
        <f t="shared" si="9"/>
        <v>#DIV/0!</v>
      </c>
      <c r="AN19" s="37" t="e">
        <f>IF(共通条件・結果!$AA$7="８地域",H19,IF(AO19="FALSE",H19,IF(L19="風除室",1/((1/H19)+0.1),0.5*H19+0.5*(1/((1/H19)+AO19)))))</f>
        <v>#DIV/0!</v>
      </c>
      <c r="AO19" s="39" t="b">
        <f t="shared" si="1"/>
        <v>0</v>
      </c>
    </row>
    <row r="20" spans="2:41" s="37" customFormat="1" ht="21.9" customHeight="1" thickBot="1" x14ac:dyDescent="0.25">
      <c r="B20" s="285" t="s">
        <v>132</v>
      </c>
      <c r="C20" s="286"/>
      <c r="D20" s="286"/>
      <c r="E20" s="286"/>
      <c r="F20" s="286"/>
      <c r="G20" s="286"/>
      <c r="H20" s="286"/>
      <c r="I20" s="286"/>
      <c r="J20" s="286"/>
      <c r="K20" s="286"/>
      <c r="L20" s="286"/>
      <c r="M20" s="286"/>
      <c r="N20" s="286"/>
      <c r="O20" s="286"/>
      <c r="P20" s="286"/>
      <c r="Q20" s="286"/>
      <c r="R20" s="286"/>
      <c r="S20" s="286"/>
      <c r="T20" s="286"/>
      <c r="U20" s="286"/>
      <c r="V20" s="287">
        <f>SUM(V8:W19)</f>
        <v>8.5304646179999999E-2</v>
      </c>
      <c r="W20" s="287"/>
      <c r="X20" s="287">
        <f>SUM(X8:Y19)</f>
        <v>4.810643136E-2</v>
      </c>
      <c r="Y20" s="287"/>
      <c r="Z20" s="287">
        <f>SUM(Z8:AA19)</f>
        <v>0.71135999999999999</v>
      </c>
      <c r="AA20" s="288"/>
    </row>
    <row r="21" spans="2:41" s="37" customFormat="1" ht="9.9" customHeight="1" x14ac:dyDescent="0.2">
      <c r="AN21" s="250"/>
      <c r="AO21" s="250"/>
    </row>
    <row r="22" spans="2:41" s="37" customFormat="1" ht="21.9" customHeight="1" thickBot="1" x14ac:dyDescent="0.25">
      <c r="J22" s="38" t="s">
        <v>15</v>
      </c>
      <c r="K22" s="38"/>
      <c r="L22" s="38"/>
    </row>
    <row r="23" spans="2:41" s="37" customFormat="1" ht="21.9" customHeight="1" x14ac:dyDescent="0.2">
      <c r="J23" s="193" t="s">
        <v>16</v>
      </c>
      <c r="K23" s="197"/>
      <c r="L23" s="197"/>
      <c r="M23" s="194"/>
      <c r="N23" s="225" t="s">
        <v>91</v>
      </c>
      <c r="O23" s="225"/>
      <c r="P23" s="225"/>
      <c r="Q23" s="225"/>
      <c r="R23" s="225" t="s">
        <v>7</v>
      </c>
      <c r="S23" s="225"/>
      <c r="T23" s="329" t="s">
        <v>10</v>
      </c>
      <c r="U23" s="330"/>
      <c r="V23" s="240" t="s">
        <v>68</v>
      </c>
      <c r="W23" s="225"/>
      <c r="X23" s="240" t="s">
        <v>67</v>
      </c>
      <c r="Y23" s="225"/>
      <c r="Z23" s="225" t="s">
        <v>13</v>
      </c>
      <c r="AA23" s="242"/>
      <c r="AN23" s="250" t="s">
        <v>89</v>
      </c>
      <c r="AO23" s="250"/>
    </row>
    <row r="24" spans="2:41" s="37" customFormat="1" ht="21.9" customHeight="1" thickBot="1" x14ac:dyDescent="0.25">
      <c r="J24" s="195"/>
      <c r="K24" s="198"/>
      <c r="L24" s="198"/>
      <c r="M24" s="196"/>
      <c r="N24" s="280" t="s">
        <v>9</v>
      </c>
      <c r="O24" s="281"/>
      <c r="P24" s="282" t="s">
        <v>8</v>
      </c>
      <c r="Q24" s="229"/>
      <c r="R24" s="229"/>
      <c r="S24" s="229"/>
      <c r="T24" s="331"/>
      <c r="U24" s="331"/>
      <c r="V24" s="229"/>
      <c r="W24" s="229"/>
      <c r="X24" s="229"/>
      <c r="Y24" s="229"/>
      <c r="Z24" s="229"/>
      <c r="AA24" s="244"/>
      <c r="AN24" s="97" t="s">
        <v>87</v>
      </c>
      <c r="AO24" s="37" t="s">
        <v>85</v>
      </c>
    </row>
    <row r="25" spans="2:41" s="37" customFormat="1" ht="21.9" customHeight="1" x14ac:dyDescent="0.2">
      <c r="C25" s="41"/>
      <c r="D25" s="41"/>
      <c r="E25" s="41"/>
      <c r="F25" s="41"/>
      <c r="G25" s="41"/>
      <c r="H25" s="41"/>
      <c r="I25" s="41"/>
      <c r="J25" s="183"/>
      <c r="K25" s="199"/>
      <c r="L25" s="199"/>
      <c r="M25" s="184"/>
      <c r="N25" s="264"/>
      <c r="O25" s="265"/>
      <c r="P25" s="265"/>
      <c r="Q25" s="266"/>
      <c r="R25" s="267"/>
      <c r="S25" s="267"/>
      <c r="T25" s="334"/>
      <c r="U25" s="334"/>
      <c r="V25" s="321" t="str">
        <f>IF(N25="","",N25*P25*R25*0.034*$V$4)</f>
        <v/>
      </c>
      <c r="W25" s="321"/>
      <c r="X25" s="321" t="str">
        <f>IF(N25="","",IF(ISERROR(N25*P25*R25*0.034*$X$4),"-",N25*P25*R25*0.034*$X$4))</f>
        <v/>
      </c>
      <c r="Y25" s="321"/>
      <c r="Z25" s="321" t="str">
        <f>IF(N25="","",N25*P25*AN25)</f>
        <v/>
      </c>
      <c r="AA25" s="324"/>
      <c r="AN25" s="37">
        <f>IF(共通条件・結果!$AA$7="８地域",R25,IF(AO25="FALSE",R25,IF(T25="風除室",1/((1/R25)+0.1),0.5*R25+0.5*(1/((1/R25)+AO25)))))</f>
        <v>0</v>
      </c>
      <c r="AO25" s="39" t="str">
        <f>IF(T25="","FALSE",IF(T25="雨戸",0.1,IF(T25="ｼｬｯﾀｰ",0.1,IF(T25="障子",0.18,IF(T25="風除室",0.1)))))</f>
        <v>FALSE</v>
      </c>
    </row>
    <row r="26" spans="2:41" s="37" customFormat="1" ht="21.9" customHeight="1" x14ac:dyDescent="0.2">
      <c r="C26" s="41"/>
      <c r="D26" s="41"/>
      <c r="E26" s="41"/>
      <c r="F26" s="41"/>
      <c r="G26" s="41"/>
      <c r="H26" s="41"/>
      <c r="I26" s="41"/>
      <c r="J26" s="185"/>
      <c r="K26" s="204"/>
      <c r="L26" s="204"/>
      <c r="M26" s="205"/>
      <c r="N26" s="207"/>
      <c r="O26" s="208"/>
      <c r="P26" s="209"/>
      <c r="Q26" s="210"/>
      <c r="R26" s="207"/>
      <c r="S26" s="210"/>
      <c r="T26" s="211"/>
      <c r="U26" s="212"/>
      <c r="V26" s="180" t="str">
        <f>IF(N26="","",N26*P26*R26*0.034*$V$4)</f>
        <v/>
      </c>
      <c r="W26" s="181"/>
      <c r="X26" s="180" t="str">
        <f>IF(N26="","",IF(ISERROR(N26*P26*R26*0.034*$X$4),"-",N26*P26*R26*0.034*$X$4))</f>
        <v/>
      </c>
      <c r="Y26" s="181"/>
      <c r="Z26" s="180" t="str">
        <f>IF(N26="","",N26*P26*AN26)</f>
        <v/>
      </c>
      <c r="AA26" s="182"/>
      <c r="AN26" s="37">
        <f>IF(共通条件・結果!$AA$7="８地域",R26,IF(AO26="FALSE",R26,IF(T26="風除室",1/((1/R26)+0.1),0.5*R26+0.5*(1/((1/R26)+AO26)))))</f>
        <v>0</v>
      </c>
      <c r="AO26" s="95" t="str">
        <f>IF(T26="","FALSE",IF(T26="雨戸",0.1,IF(T26="ｼｬｯﾀｰ",0.1,IF(T26="障子",0.18,IF(T26="風除室",0.1)))))</f>
        <v>FALSE</v>
      </c>
    </row>
    <row r="27" spans="2:41" s="37" customFormat="1" ht="21.9" customHeight="1" thickBot="1" x14ac:dyDescent="0.25">
      <c r="C27" s="41"/>
      <c r="D27" s="41"/>
      <c r="E27" s="41"/>
      <c r="F27" s="41"/>
      <c r="G27" s="41"/>
      <c r="H27" s="41"/>
      <c r="I27" s="41"/>
      <c r="J27" s="200"/>
      <c r="K27" s="201"/>
      <c r="L27" s="201"/>
      <c r="M27" s="202"/>
      <c r="N27" s="290"/>
      <c r="O27" s="191"/>
      <c r="P27" s="191"/>
      <c r="Q27" s="192"/>
      <c r="R27" s="279"/>
      <c r="S27" s="279"/>
      <c r="T27" s="203" t="s">
        <v>65</v>
      </c>
      <c r="U27" s="203"/>
      <c r="V27" s="332" t="str">
        <f>IF(N27="","",N27*P27*R27*0.034*$V$4)</f>
        <v/>
      </c>
      <c r="W27" s="332"/>
      <c r="X27" s="332" t="str">
        <f>IF(N27="","",IF(ISERROR(N27*P27*R27*0.034*$X$4),"-",N27*P27*R27*0.034*$X$4))</f>
        <v/>
      </c>
      <c r="Y27" s="332"/>
      <c r="Z27" s="332" t="str">
        <f>IF(N27="","",N27*P27*AN27)</f>
        <v/>
      </c>
      <c r="AA27" s="333"/>
      <c r="AN27" s="37" t="e">
        <f>IF(共通条件・結果!$AA$7="８地域",R27,IF(AO27="FALSE",R27,IF(T27="風除室",1/((1/R27)+0.1),0.5*R27+0.5*(1/((1/R27)+AO27)))))</f>
        <v>#DIV/0!</v>
      </c>
      <c r="AO27" s="39" t="b">
        <f>IF(T27="","FALSE",IF(T27="雨戸",0.1,IF(T27="ｼｬｯﾀｰ",0.1,IF(T27="障子",0.18,IF(T27="風除室",0.1)))))</f>
        <v>0</v>
      </c>
    </row>
    <row r="28" spans="2:41" s="37" customFormat="1" ht="21.9" customHeight="1" thickBot="1" x14ac:dyDescent="0.25">
      <c r="C28" s="41"/>
      <c r="D28" s="41"/>
      <c r="E28" s="41"/>
      <c r="F28" s="41"/>
      <c r="G28" s="41"/>
      <c r="H28" s="41"/>
      <c r="I28" s="41"/>
      <c r="J28" s="285" t="s">
        <v>148</v>
      </c>
      <c r="K28" s="286"/>
      <c r="L28" s="286"/>
      <c r="M28" s="286"/>
      <c r="N28" s="286"/>
      <c r="O28" s="286"/>
      <c r="P28" s="286"/>
      <c r="Q28" s="286"/>
      <c r="R28" s="286"/>
      <c r="S28" s="286"/>
      <c r="T28" s="286"/>
      <c r="U28" s="312"/>
      <c r="V28" s="287">
        <f>SUM(V25:W27)</f>
        <v>0</v>
      </c>
      <c r="W28" s="287"/>
      <c r="X28" s="287">
        <f>SUM(X25:Y27)</f>
        <v>0</v>
      </c>
      <c r="Y28" s="287"/>
      <c r="Z28" s="287">
        <f>SUM(Z25:AA27)</f>
        <v>0</v>
      </c>
      <c r="AA28" s="288"/>
      <c r="AO28" s="39"/>
    </row>
    <row r="29" spans="2:41" s="37" customFormat="1" ht="9.9" customHeight="1" x14ac:dyDescent="0.2">
      <c r="C29" s="41"/>
      <c r="D29" s="41"/>
      <c r="E29" s="41"/>
      <c r="F29" s="41"/>
      <c r="G29" s="41"/>
      <c r="H29" s="41"/>
      <c r="I29" s="41"/>
      <c r="J29" s="41"/>
      <c r="AO29" s="39"/>
    </row>
    <row r="30" spans="2:41" s="37" customFormat="1" ht="21.9" customHeight="1" thickBot="1" x14ac:dyDescent="0.25">
      <c r="C30" s="41"/>
      <c r="D30" s="41"/>
      <c r="E30" s="41"/>
      <c r="F30" s="41"/>
      <c r="G30" s="41"/>
      <c r="H30" s="41"/>
      <c r="I30" s="41"/>
      <c r="J30" s="38" t="s">
        <v>17</v>
      </c>
      <c r="K30" s="38"/>
      <c r="L30" s="38"/>
      <c r="AO30" s="39"/>
    </row>
    <row r="31" spans="2:41" s="37" customFormat="1" ht="21.9" customHeight="1" x14ac:dyDescent="0.2">
      <c r="C31" s="41"/>
      <c r="D31" s="41"/>
      <c r="E31" s="41"/>
      <c r="F31" s="41"/>
      <c r="G31" s="41"/>
      <c r="H31" s="41"/>
      <c r="I31" s="41"/>
      <c r="J31" s="193" t="s">
        <v>0</v>
      </c>
      <c r="K31" s="194"/>
      <c r="L31" s="341" t="s">
        <v>53</v>
      </c>
      <c r="M31" s="342"/>
      <c r="N31" s="341" t="s">
        <v>170</v>
      </c>
      <c r="O31" s="342"/>
      <c r="P31" s="325" t="s">
        <v>54</v>
      </c>
      <c r="Q31" s="326"/>
      <c r="R31" s="225" t="s">
        <v>7</v>
      </c>
      <c r="S31" s="225"/>
      <c r="T31" s="337" t="s">
        <v>150</v>
      </c>
      <c r="U31" s="338"/>
      <c r="V31" s="240" t="s">
        <v>68</v>
      </c>
      <c r="W31" s="225"/>
      <c r="X31" s="240" t="s">
        <v>67</v>
      </c>
      <c r="Y31" s="225"/>
      <c r="Z31" s="225" t="s">
        <v>13</v>
      </c>
      <c r="AA31" s="242"/>
      <c r="AO31" s="39"/>
    </row>
    <row r="32" spans="2:41" s="37" customFormat="1" ht="21.9" customHeight="1" thickBot="1" x14ac:dyDescent="0.25">
      <c r="C32" s="41"/>
      <c r="D32" s="41"/>
      <c r="E32" s="41"/>
      <c r="F32" s="41"/>
      <c r="G32" s="41"/>
      <c r="H32" s="41"/>
      <c r="I32" s="41"/>
      <c r="J32" s="195"/>
      <c r="K32" s="196"/>
      <c r="L32" s="238"/>
      <c r="M32" s="343"/>
      <c r="N32" s="238"/>
      <c r="O32" s="343"/>
      <c r="P32" s="327"/>
      <c r="Q32" s="328"/>
      <c r="R32" s="229"/>
      <c r="S32" s="229"/>
      <c r="T32" s="339"/>
      <c r="U32" s="340"/>
      <c r="V32" s="229"/>
      <c r="W32" s="229"/>
      <c r="X32" s="229"/>
      <c r="Y32" s="229"/>
      <c r="Z32" s="229"/>
      <c r="AA32" s="244"/>
      <c r="AE32" s="37" t="s">
        <v>140</v>
      </c>
      <c r="AF32" s="37" t="s">
        <v>141</v>
      </c>
    </row>
    <row r="33" spans="2:32" s="37" customFormat="1" ht="21.9" customHeight="1" x14ac:dyDescent="0.2">
      <c r="C33" s="41"/>
      <c r="D33" s="41"/>
      <c r="E33" s="41"/>
      <c r="F33" s="41"/>
      <c r="G33" s="41"/>
      <c r="H33" s="41"/>
      <c r="I33" s="41"/>
      <c r="J33" s="183" t="s">
        <v>256</v>
      </c>
      <c r="K33" s="184"/>
      <c r="L33" s="316">
        <f>6.3*(2.4+0.438+2.4+0.043+0.105+0.02)</f>
        <v>34.0578</v>
      </c>
      <c r="M33" s="317"/>
      <c r="N33" s="316">
        <f>0.4446</f>
        <v>0.4446</v>
      </c>
      <c r="O33" s="317"/>
      <c r="P33" s="318">
        <f>IF(L33="","",L33-N33)</f>
        <v>33.613199999999999</v>
      </c>
      <c r="Q33" s="319"/>
      <c r="R33" s="267">
        <v>0.20618729888324211</v>
      </c>
      <c r="S33" s="267"/>
      <c r="T33" s="320"/>
      <c r="U33" s="320"/>
      <c r="V33" s="321">
        <f>IF(P33="","",IF(AD33=TRUE,0,P33*R33*0.034*$V$4))</f>
        <v>0.12465403985799199</v>
      </c>
      <c r="W33" s="321"/>
      <c r="X33" s="322">
        <f>IF(P33="","",IF(ISERROR(P33*R33*0.034*$X$4),"-",IF(AD33=TRUE,0,P33*R33*0.034*$X$4)))</f>
        <v>0.12818865346455133</v>
      </c>
      <c r="Y33" s="323"/>
      <c r="Z33" s="321">
        <f>IF(R33="","",IF(AD33=TRUE,0.7*R33*P33,R33*P33))</f>
        <v>6.9306149148221934</v>
      </c>
      <c r="AA33" s="324"/>
      <c r="AD33" s="40" t="b">
        <v>0</v>
      </c>
      <c r="AE33" s="40">
        <f>IF(AD33=TRUE,0.7,1)</f>
        <v>1</v>
      </c>
      <c r="AF33" s="40" t="str">
        <f>IF(AD33=TRUE,0,"セル")</f>
        <v>セル</v>
      </c>
    </row>
    <row r="34" spans="2:32" s="37" customFormat="1" ht="21.9" customHeight="1" x14ac:dyDescent="0.2">
      <c r="C34" s="41"/>
      <c r="D34" s="41"/>
      <c r="E34" s="41"/>
      <c r="F34" s="41"/>
      <c r="G34" s="41"/>
      <c r="H34" s="41"/>
      <c r="I34" s="41"/>
      <c r="J34" s="185" t="s">
        <v>261</v>
      </c>
      <c r="K34" s="205"/>
      <c r="L34" s="207">
        <f>0.5*6.3</f>
        <v>3.15</v>
      </c>
      <c r="M34" s="210"/>
      <c r="N34" s="207">
        <v>0</v>
      </c>
      <c r="O34" s="210"/>
      <c r="P34" s="313">
        <f t="shared" ref="P34:P35" si="20">IF(L34="","",L34-N34)</f>
        <v>3.15</v>
      </c>
      <c r="Q34" s="314"/>
      <c r="R34" s="207">
        <v>0.26183640835258143</v>
      </c>
      <c r="S34" s="210"/>
      <c r="T34" s="352"/>
      <c r="U34" s="353"/>
      <c r="V34" s="180">
        <f t="shared" ref="V34:V35" si="21">IF(P34="","",IF(AD34=TRUE,0,P34*R34*0.034*$V$4))</f>
        <v>1.4834577367983021E-2</v>
      </c>
      <c r="W34" s="181"/>
      <c r="X34" s="180">
        <f t="shared" ref="X34:X35" si="22">IF(P34="","",IF(ISERROR(P34*R34*0.034*$X$4),"-",IF(AD34=TRUE,0,P34*R34*0.034*$X$4)))</f>
        <v>1.5255217558001442E-2</v>
      </c>
      <c r="Y34" s="181"/>
      <c r="Z34" s="180">
        <f t="shared" ref="Z34:Z35" si="23">IF(R34="","",IF(AD34=TRUE,0.7*R34*P34,R34*P34))</f>
        <v>0.82478468631063151</v>
      </c>
      <c r="AA34" s="182"/>
      <c r="AD34" s="40" t="b">
        <v>0</v>
      </c>
      <c r="AE34" s="40">
        <f t="shared" ref="AE34:AE35" si="24">IF(AD34=TRUE,0.7,1)</f>
        <v>1</v>
      </c>
      <c r="AF34" s="40" t="str">
        <f t="shared" ref="AF34:AF35" si="25">IF(AD34=TRUE,0,"セル")</f>
        <v>セル</v>
      </c>
    </row>
    <row r="35" spans="2:32" s="37" customFormat="1" ht="21.9" customHeight="1" x14ac:dyDescent="0.2">
      <c r="C35" s="41"/>
      <c r="D35" s="41"/>
      <c r="E35" s="41"/>
      <c r="F35" s="41"/>
      <c r="G35" s="41"/>
      <c r="H35" s="41"/>
      <c r="I35" s="41"/>
      <c r="J35" s="185"/>
      <c r="K35" s="205"/>
      <c r="L35" s="207"/>
      <c r="M35" s="210"/>
      <c r="N35" s="207"/>
      <c r="O35" s="210"/>
      <c r="P35" s="313" t="str">
        <f t="shared" si="20"/>
        <v/>
      </c>
      <c r="Q35" s="314"/>
      <c r="R35" s="207"/>
      <c r="S35" s="210"/>
      <c r="T35" s="352"/>
      <c r="U35" s="353"/>
      <c r="V35" s="180" t="str">
        <f t="shared" si="21"/>
        <v/>
      </c>
      <c r="W35" s="181"/>
      <c r="X35" s="180" t="str">
        <f t="shared" si="22"/>
        <v/>
      </c>
      <c r="Y35" s="181"/>
      <c r="Z35" s="180" t="str">
        <f t="shared" si="23"/>
        <v/>
      </c>
      <c r="AA35" s="182"/>
      <c r="AD35" s="40" t="b">
        <v>0</v>
      </c>
      <c r="AE35" s="40">
        <f t="shared" si="24"/>
        <v>1</v>
      </c>
      <c r="AF35" s="40" t="str">
        <f t="shared" si="25"/>
        <v>セル</v>
      </c>
    </row>
    <row r="36" spans="2:32" s="37" customFormat="1" ht="21.9" customHeight="1" x14ac:dyDescent="0.2">
      <c r="C36" s="41"/>
      <c r="D36" s="41"/>
      <c r="E36" s="41"/>
      <c r="F36" s="41"/>
      <c r="G36" s="41"/>
      <c r="H36" s="41"/>
      <c r="I36" s="41"/>
      <c r="J36" s="185"/>
      <c r="K36" s="205"/>
      <c r="L36" s="207"/>
      <c r="M36" s="210"/>
      <c r="N36" s="207"/>
      <c r="O36" s="210"/>
      <c r="P36" s="313" t="str">
        <f>IF(L36="","",L36-N36)</f>
        <v/>
      </c>
      <c r="Q36" s="314"/>
      <c r="R36" s="190"/>
      <c r="S36" s="190"/>
      <c r="T36" s="315"/>
      <c r="U36" s="315"/>
      <c r="V36" s="175" t="str">
        <f>IF(P36="","",IF(AD36=TRUE,0,P36*R36*0.034*$V$4))</f>
        <v/>
      </c>
      <c r="W36" s="175"/>
      <c r="X36" s="180" t="str">
        <f>IF(P36="","",IF(ISERROR(P36*R36*0.034*$X$4),"-",IF(AD36=TRUE,0,P36*R36*0.034*$X$4)))</f>
        <v/>
      </c>
      <c r="Y36" s="181"/>
      <c r="Z36" s="175" t="str">
        <f>IF(R36="","",IF(AD36=TRUE,0.7*R36*P36,R36*P36))</f>
        <v/>
      </c>
      <c r="AA36" s="176"/>
      <c r="AD36" s="40" t="b">
        <v>0</v>
      </c>
      <c r="AE36" s="40">
        <f>IF(AD36=TRUE,0.7,1)</f>
        <v>1</v>
      </c>
      <c r="AF36" s="40" t="str">
        <f>IF(AD36=TRUE,0,"セル")</f>
        <v>セル</v>
      </c>
    </row>
    <row r="37" spans="2:32" s="37" customFormat="1" ht="21.9" customHeight="1" thickBot="1" x14ac:dyDescent="0.25">
      <c r="J37" s="200"/>
      <c r="K37" s="202"/>
      <c r="L37" s="335"/>
      <c r="M37" s="336"/>
      <c r="N37" s="335"/>
      <c r="O37" s="336"/>
      <c r="P37" s="347" t="str">
        <f>IF(L37="","",L37-N37)</f>
        <v/>
      </c>
      <c r="Q37" s="348"/>
      <c r="R37" s="349"/>
      <c r="S37" s="349"/>
      <c r="T37" s="344"/>
      <c r="U37" s="344"/>
      <c r="V37" s="283" t="str">
        <f>IF(P37="","",IF(AD37=TRUE,0,P37*R37*0.034*$V$4))</f>
        <v/>
      </c>
      <c r="W37" s="283"/>
      <c r="X37" s="345" t="str">
        <f>IF(P37="","",IF(ISERROR(P37*R37*0.034*$X$4),"-",IF(AD37=TRUE,0,P37*R37*0.034*$X$4)))</f>
        <v/>
      </c>
      <c r="Y37" s="346"/>
      <c r="Z37" s="283" t="str">
        <f>IF(R37="","",IF(AD37=TRUE,0.7*R37*P37,R37*P37))</f>
        <v/>
      </c>
      <c r="AA37" s="284"/>
      <c r="AD37" s="40" t="b">
        <v>0</v>
      </c>
      <c r="AE37" s="40">
        <f>IF(AD37=TRUE,0.7,1)</f>
        <v>1</v>
      </c>
      <c r="AF37" s="40" t="str">
        <f>IF(AD37=TRUE,0,"セル")</f>
        <v>セル</v>
      </c>
    </row>
    <row r="38" spans="2:32" s="37" customFormat="1" ht="21.9" customHeight="1" thickBot="1" x14ac:dyDescent="0.25">
      <c r="J38" s="285" t="s">
        <v>133</v>
      </c>
      <c r="K38" s="286"/>
      <c r="L38" s="286"/>
      <c r="M38" s="286"/>
      <c r="N38" s="286"/>
      <c r="O38" s="286"/>
      <c r="P38" s="286"/>
      <c r="Q38" s="286"/>
      <c r="R38" s="286"/>
      <c r="S38" s="286"/>
      <c r="T38" s="286"/>
      <c r="U38" s="312"/>
      <c r="V38" s="287">
        <f>SUM(V33:W37)</f>
        <v>0.139488617225975</v>
      </c>
      <c r="W38" s="287"/>
      <c r="X38" s="287">
        <f>SUM(X33:Y37)</f>
        <v>0.14344387102255277</v>
      </c>
      <c r="Y38" s="287"/>
      <c r="Z38" s="287">
        <f>SUM(Z33:AA37)</f>
        <v>7.755399601132825</v>
      </c>
      <c r="AA38" s="288"/>
    </row>
    <row r="39" spans="2:32" s="37" customFormat="1" ht="9.9" customHeight="1" x14ac:dyDescent="0.2"/>
    <row r="40" spans="2:32" s="37" customFormat="1" ht="21.9" customHeight="1" thickBot="1" x14ac:dyDescent="0.25">
      <c r="B40" s="38" t="s">
        <v>134</v>
      </c>
    </row>
    <row r="41" spans="2:32" s="37" customFormat="1" ht="21.9" customHeight="1" x14ac:dyDescent="0.2">
      <c r="B41" s="291" t="s">
        <v>107</v>
      </c>
      <c r="C41" s="292"/>
      <c r="D41" s="305" t="s">
        <v>56</v>
      </c>
      <c r="E41" s="306"/>
      <c r="F41" s="306"/>
      <c r="G41" s="306"/>
      <c r="H41" s="306"/>
      <c r="I41" s="306"/>
      <c r="J41" s="307"/>
      <c r="K41" s="42"/>
      <c r="L41" s="301">
        <f>Q41+U41+Y41</f>
        <v>37.207799999999999</v>
      </c>
      <c r="M41" s="301"/>
      <c r="N41" s="301"/>
      <c r="O41" s="42" t="s">
        <v>24</v>
      </c>
      <c r="P41" s="43" t="s">
        <v>23</v>
      </c>
      <c r="Q41" s="302">
        <f>D8*F8+D9*F9+D10*F10+D11*F11+D12*F12+D13*F13+D14*F14+D15*F15+D16*F16+D17*F17+D18*F18+D19*F19</f>
        <v>0.4446</v>
      </c>
      <c r="R41" s="302"/>
      <c r="S41" s="44" t="s">
        <v>25</v>
      </c>
      <c r="T41" s="44" t="s">
        <v>22</v>
      </c>
      <c r="U41" s="303">
        <f>N25*P25+N26*P26+N27*P27</f>
        <v>0</v>
      </c>
      <c r="V41" s="303"/>
      <c r="W41" s="44" t="s">
        <v>25</v>
      </c>
      <c r="X41" s="44" t="s">
        <v>1</v>
      </c>
      <c r="Y41" s="304">
        <f>SUM(P33:Q37)</f>
        <v>36.763199999999998</v>
      </c>
      <c r="Z41" s="304"/>
      <c r="AA41" s="45" t="s">
        <v>19</v>
      </c>
    </row>
    <row r="42" spans="2:32" s="37" customFormat="1" ht="21.9" customHeight="1" x14ac:dyDescent="0.2">
      <c r="B42" s="293"/>
      <c r="C42" s="294"/>
      <c r="D42" s="297" t="s">
        <v>72</v>
      </c>
      <c r="E42" s="298"/>
      <c r="F42" s="298"/>
      <c r="G42" s="298"/>
      <c r="H42" s="298"/>
      <c r="I42" s="298"/>
      <c r="J42" s="299"/>
      <c r="K42" s="46"/>
      <c r="L42" s="46"/>
      <c r="M42" s="46"/>
      <c r="N42" s="46"/>
      <c r="O42" s="46"/>
      <c r="P42" s="46"/>
      <c r="Q42" s="46"/>
      <c r="R42" s="46"/>
      <c r="S42" s="46"/>
      <c r="T42" s="46"/>
      <c r="U42" s="46"/>
      <c r="V42" s="46"/>
      <c r="W42" s="300">
        <f>V20+V28+V38</f>
        <v>0.224793263405975</v>
      </c>
      <c r="X42" s="300"/>
      <c r="Y42" s="300"/>
      <c r="Z42" s="46"/>
      <c r="AA42" s="47"/>
    </row>
    <row r="43" spans="2:32" s="37" customFormat="1" ht="21.9" customHeight="1" x14ac:dyDescent="0.2">
      <c r="B43" s="293"/>
      <c r="C43" s="294"/>
      <c r="D43" s="297" t="s">
        <v>73</v>
      </c>
      <c r="E43" s="298"/>
      <c r="F43" s="298"/>
      <c r="G43" s="298"/>
      <c r="H43" s="298"/>
      <c r="I43" s="298"/>
      <c r="J43" s="299"/>
      <c r="K43" s="46"/>
      <c r="L43" s="46"/>
      <c r="M43" s="46"/>
      <c r="N43" s="46"/>
      <c r="O43" s="46"/>
      <c r="P43" s="46"/>
      <c r="Q43" s="46"/>
      <c r="R43" s="46"/>
      <c r="S43" s="46"/>
      <c r="T43" s="46"/>
      <c r="U43" s="46"/>
      <c r="V43" s="46"/>
      <c r="W43" s="300">
        <f>X20+X28+X38</f>
        <v>0.19155030238255277</v>
      </c>
      <c r="X43" s="300"/>
      <c r="Y43" s="300"/>
      <c r="Z43" s="46"/>
      <c r="AA43" s="47"/>
    </row>
    <row r="44" spans="2:32" s="37" customFormat="1" ht="21.9" customHeight="1" thickBot="1" x14ac:dyDescent="0.25">
      <c r="B44" s="295"/>
      <c r="C44" s="296"/>
      <c r="D44" s="308" t="s">
        <v>20</v>
      </c>
      <c r="E44" s="309"/>
      <c r="F44" s="309"/>
      <c r="G44" s="309"/>
      <c r="H44" s="309"/>
      <c r="I44" s="309"/>
      <c r="J44" s="310"/>
      <c r="K44" s="48"/>
      <c r="L44" s="48"/>
      <c r="M44" s="48"/>
      <c r="N44" s="48"/>
      <c r="O44" s="48"/>
      <c r="P44" s="48"/>
      <c r="Q44" s="48"/>
      <c r="R44" s="48"/>
      <c r="S44" s="48"/>
      <c r="T44" s="48"/>
      <c r="U44" s="48"/>
      <c r="V44" s="48"/>
      <c r="W44" s="311">
        <f>Z20+Z28+Z38</f>
        <v>8.466759601132825</v>
      </c>
      <c r="X44" s="311"/>
      <c r="Y44" s="311"/>
      <c r="Z44" s="49" t="s">
        <v>21</v>
      </c>
      <c r="AA44" s="50"/>
    </row>
    <row r="45" spans="2:32" s="37" customFormat="1" ht="21.9" customHeight="1" x14ac:dyDescent="0.2"/>
    <row r="46" spans="2:32" s="37" customFormat="1" ht="21.9" customHeight="1" x14ac:dyDescent="0.2"/>
    <row r="47" spans="2:32" s="37" customFormat="1" ht="21.9" customHeight="1" x14ac:dyDescent="0.2"/>
    <row r="48" spans="2:32" s="37" customFormat="1" ht="21.9" customHeight="1" x14ac:dyDescent="0.2"/>
    <row r="49" s="37" customFormat="1" ht="21.9" customHeight="1" x14ac:dyDescent="0.2"/>
    <row r="50" s="37" customFormat="1" ht="21.9" customHeight="1" x14ac:dyDescent="0.2"/>
    <row r="51" s="37" customFormat="1" ht="21.9" customHeight="1" x14ac:dyDescent="0.2"/>
    <row r="52" s="37" customFormat="1" ht="21.9" customHeight="1" x14ac:dyDescent="0.2"/>
    <row r="53" s="37" customFormat="1" ht="21.9" customHeight="1" x14ac:dyDescent="0.2"/>
    <row r="54" s="37" customFormat="1" ht="21.9" customHeight="1" x14ac:dyDescent="0.2"/>
    <row r="55" s="37" customFormat="1" ht="21.9" customHeight="1" x14ac:dyDescent="0.2"/>
    <row r="56" s="37" customFormat="1" ht="21.9" customHeight="1" x14ac:dyDescent="0.2"/>
    <row r="57" s="37" customFormat="1" ht="21.9" customHeight="1" x14ac:dyDescent="0.2"/>
    <row r="58" s="37" customFormat="1" ht="21.9" customHeight="1" x14ac:dyDescent="0.2"/>
    <row r="59" s="37" customFormat="1" ht="21.9" customHeight="1" x14ac:dyDescent="0.2"/>
    <row r="60" s="37" customFormat="1" ht="21.9" customHeight="1" x14ac:dyDescent="0.2"/>
    <row r="61" s="37" customFormat="1" ht="24.9" customHeight="1" x14ac:dyDescent="0.2"/>
    <row r="62" s="37" customFormat="1" ht="24.9" customHeight="1" x14ac:dyDescent="0.2"/>
    <row r="63" s="37" customFormat="1" ht="24.9" customHeight="1" x14ac:dyDescent="0.2"/>
    <row r="64" s="37" customFormat="1" ht="24.9" customHeight="1" x14ac:dyDescent="0.2"/>
    <row r="65" s="37" customFormat="1" ht="24.9" customHeight="1" x14ac:dyDescent="0.2"/>
    <row r="66" s="37" customFormat="1" ht="24.9" customHeight="1" x14ac:dyDescent="0.2"/>
    <row r="67" s="37" customFormat="1" ht="24.9" customHeight="1" x14ac:dyDescent="0.2"/>
    <row r="68" s="37" customFormat="1" ht="24.9" customHeight="1" x14ac:dyDescent="0.2"/>
    <row r="69" s="37" customFormat="1" ht="24.9" customHeight="1" x14ac:dyDescent="0.2"/>
    <row r="70" s="37" customFormat="1" ht="24.9" customHeight="1" x14ac:dyDescent="0.2"/>
    <row r="71" s="37" customFormat="1" ht="24.9" customHeight="1" x14ac:dyDescent="0.2"/>
    <row r="72" s="37" customFormat="1" ht="24.9" customHeight="1" x14ac:dyDescent="0.2"/>
    <row r="73" s="37" customFormat="1" ht="24.9" customHeight="1" x14ac:dyDescent="0.2"/>
    <row r="74" s="37" customFormat="1" ht="24.9" customHeight="1" x14ac:dyDescent="0.2"/>
    <row r="75" s="37" customFormat="1" ht="24.9" customHeight="1" x14ac:dyDescent="0.2"/>
    <row r="76" s="37" customFormat="1" ht="24.9" customHeight="1" x14ac:dyDescent="0.2"/>
    <row r="77" s="37" customFormat="1" ht="24.9" customHeight="1" x14ac:dyDescent="0.2"/>
    <row r="78" s="37" customFormat="1" ht="24.9" customHeight="1" x14ac:dyDescent="0.2"/>
    <row r="79" s="37" customFormat="1" ht="24.9" customHeight="1" x14ac:dyDescent="0.2"/>
    <row r="80" s="37" customFormat="1" ht="24.9" customHeight="1" x14ac:dyDescent="0.2"/>
    <row r="81" s="37" customFormat="1" ht="24.9" customHeight="1" x14ac:dyDescent="0.2"/>
    <row r="82" s="37" customFormat="1" ht="24.9" customHeight="1" x14ac:dyDescent="0.2"/>
    <row r="83" s="37" customFormat="1" ht="24.9" customHeight="1" x14ac:dyDescent="0.2"/>
    <row r="84" s="37" customFormat="1" ht="24.9" customHeight="1" x14ac:dyDescent="0.2"/>
    <row r="85" s="37" customFormat="1" ht="24.9" customHeight="1" x14ac:dyDescent="0.2"/>
    <row r="86" s="37" customFormat="1" ht="24.9" customHeight="1" x14ac:dyDescent="0.2"/>
    <row r="87" s="37" customFormat="1" ht="24.9" customHeight="1" x14ac:dyDescent="0.2"/>
    <row r="88" s="37" customFormat="1" ht="24.9" customHeight="1" x14ac:dyDescent="0.2"/>
    <row r="89" s="37" customFormat="1" ht="24.9" customHeight="1" x14ac:dyDescent="0.2"/>
    <row r="90" s="37" customFormat="1" ht="24.9" customHeight="1" x14ac:dyDescent="0.2"/>
    <row r="91" s="37" customFormat="1" ht="24.9" customHeight="1" x14ac:dyDescent="0.2"/>
    <row r="92" s="37" customFormat="1" ht="24.9" customHeight="1" x14ac:dyDescent="0.2"/>
    <row r="93" s="37" customFormat="1" ht="24.9" customHeight="1" x14ac:dyDescent="0.2"/>
    <row r="94" s="51" customFormat="1" ht="24.9" customHeight="1" x14ac:dyDescent="0.15"/>
    <row r="95" s="51" customFormat="1" ht="24.9" customHeight="1" x14ac:dyDescent="0.15"/>
    <row r="96" ht="24.9" customHeight="1" x14ac:dyDescent="0.2"/>
    <row r="97" ht="24.9" customHeight="1" x14ac:dyDescent="0.2"/>
    <row r="98" ht="24.9" customHeight="1" x14ac:dyDescent="0.2"/>
    <row r="99" ht="24.9" customHeight="1" x14ac:dyDescent="0.2"/>
    <row r="100" ht="24.9" customHeight="1" x14ac:dyDescent="0.2"/>
    <row r="101" ht="24.9" customHeight="1" x14ac:dyDescent="0.2"/>
    <row r="102" ht="24.9" customHeight="1" x14ac:dyDescent="0.2"/>
    <row r="103" ht="24.9" customHeight="1" x14ac:dyDescent="0.2"/>
    <row r="104" ht="24.9" customHeight="1" x14ac:dyDescent="0.2"/>
    <row r="105" ht="24.9" customHeight="1" x14ac:dyDescent="0.2"/>
    <row r="106" ht="24.9" customHeight="1" x14ac:dyDescent="0.2"/>
  </sheetData>
  <sheetProtection algorithmName="SHA-512" hashValue="FTtSKYs72ULgzvaUpGTn+C/+zYzRfcFQejjHCHU5LJ76IdDbHRQoSzzg0gauu6L/zlKr1IzUU+E4rFcYAY0YUw==" saltValue="Id4cx1KaB05nRZFlqIm4Jw==" spinCount="100000" sheet="1" objects="1" scenarios="1" selectLockedCells="1"/>
  <mergeCells count="293">
    <mergeCell ref="L35:M35"/>
    <mergeCell ref="N34:O34"/>
    <mergeCell ref="N35:O35"/>
    <mergeCell ref="R34:S34"/>
    <mergeCell ref="R35:S35"/>
    <mergeCell ref="P34:Q34"/>
    <mergeCell ref="P35:Q35"/>
    <mergeCell ref="V34:W34"/>
    <mergeCell ref="V35:W35"/>
    <mergeCell ref="V12:W12"/>
    <mergeCell ref="V13:W13"/>
    <mergeCell ref="X12:Y12"/>
    <mergeCell ref="X13:Y13"/>
    <mergeCell ref="Z12:AA12"/>
    <mergeCell ref="Z13:AA13"/>
    <mergeCell ref="T12:U12"/>
    <mergeCell ref="R12:S12"/>
    <mergeCell ref="P12:Q12"/>
    <mergeCell ref="P13:Q13"/>
    <mergeCell ref="R13:S13"/>
    <mergeCell ref="T13:U13"/>
    <mergeCell ref="N12:O12"/>
    <mergeCell ref="N13:O13"/>
    <mergeCell ref="T34:U34"/>
    <mergeCell ref="T35:U35"/>
    <mergeCell ref="D12:E12"/>
    <mergeCell ref="D13:E13"/>
    <mergeCell ref="B12:C12"/>
    <mergeCell ref="B13:C13"/>
    <mergeCell ref="F12:G12"/>
    <mergeCell ref="F13:G13"/>
    <mergeCell ref="H12:I12"/>
    <mergeCell ref="H13:I13"/>
    <mergeCell ref="J12:K12"/>
    <mergeCell ref="J13:K13"/>
    <mergeCell ref="L13:M13"/>
    <mergeCell ref="L12:M12"/>
    <mergeCell ref="J26:M26"/>
    <mergeCell ref="N26:O26"/>
    <mergeCell ref="P26:Q26"/>
    <mergeCell ref="R26:S26"/>
    <mergeCell ref="T26:U26"/>
    <mergeCell ref="J34:K34"/>
    <mergeCell ref="J35:K35"/>
    <mergeCell ref="L34:M34"/>
    <mergeCell ref="J27:M27"/>
    <mergeCell ref="J31:K32"/>
    <mergeCell ref="J28:U28"/>
    <mergeCell ref="J38:U38"/>
    <mergeCell ref="D6:E7"/>
    <mergeCell ref="F6:G7"/>
    <mergeCell ref="N6:O7"/>
    <mergeCell ref="P6:U6"/>
    <mergeCell ref="N8:O8"/>
    <mergeCell ref="P8:Q8"/>
    <mergeCell ref="T10:U10"/>
    <mergeCell ref="T14:U14"/>
    <mergeCell ref="T16:U16"/>
    <mergeCell ref="N25:O25"/>
    <mergeCell ref="P25:Q25"/>
    <mergeCell ref="R25:S25"/>
    <mergeCell ref="T25:U25"/>
    <mergeCell ref="J23:M24"/>
    <mergeCell ref="J25:M25"/>
    <mergeCell ref="L36:M36"/>
    <mergeCell ref="N36:O36"/>
    <mergeCell ref="P36:Q36"/>
    <mergeCell ref="J36:K36"/>
    <mergeCell ref="J33:K33"/>
    <mergeCell ref="B2:AA2"/>
    <mergeCell ref="R4:U4"/>
    <mergeCell ref="V4:W4"/>
    <mergeCell ref="X4:Y4"/>
    <mergeCell ref="B5:C7"/>
    <mergeCell ref="D5:G5"/>
    <mergeCell ref="H5:I7"/>
    <mergeCell ref="J5:K7"/>
    <mergeCell ref="L5:M7"/>
    <mergeCell ref="N5:U5"/>
    <mergeCell ref="J8:K8"/>
    <mergeCell ref="L8:M8"/>
    <mergeCell ref="R8:S8"/>
    <mergeCell ref="T8:U8"/>
    <mergeCell ref="V8:W8"/>
    <mergeCell ref="AD6:AE6"/>
    <mergeCell ref="AH6:AI6"/>
    <mergeCell ref="AK6:AL6"/>
    <mergeCell ref="AN6:AO6"/>
    <mergeCell ref="P7:Q7"/>
    <mergeCell ref="R7:S7"/>
    <mergeCell ref="T7:U7"/>
    <mergeCell ref="V5:W7"/>
    <mergeCell ref="X5:Y7"/>
    <mergeCell ref="Z5:AA7"/>
    <mergeCell ref="J10:K10"/>
    <mergeCell ref="L10:M10"/>
    <mergeCell ref="N10:O10"/>
    <mergeCell ref="P10:Q10"/>
    <mergeCell ref="R10:S10"/>
    <mergeCell ref="X8:Y8"/>
    <mergeCell ref="Z8:AA8"/>
    <mergeCell ref="B9:C9"/>
    <mergeCell ref="D9:E9"/>
    <mergeCell ref="F9:G9"/>
    <mergeCell ref="H9:I9"/>
    <mergeCell ref="J9:K9"/>
    <mergeCell ref="L9:M9"/>
    <mergeCell ref="N9:O9"/>
    <mergeCell ref="P9:Q9"/>
    <mergeCell ref="R9:S9"/>
    <mergeCell ref="T9:U9"/>
    <mergeCell ref="V9:W9"/>
    <mergeCell ref="X9:Y9"/>
    <mergeCell ref="Z9:AA9"/>
    <mergeCell ref="B8:C8"/>
    <mergeCell ref="D8:E8"/>
    <mergeCell ref="F8:G8"/>
    <mergeCell ref="H8:I8"/>
    <mergeCell ref="L14:M14"/>
    <mergeCell ref="N14:O14"/>
    <mergeCell ref="P14:Q14"/>
    <mergeCell ref="R14:S14"/>
    <mergeCell ref="V10:W10"/>
    <mergeCell ref="X10:Y10"/>
    <mergeCell ref="Z10:AA10"/>
    <mergeCell ref="B11:C11"/>
    <mergeCell ref="D11:E11"/>
    <mergeCell ref="F11:G11"/>
    <mergeCell ref="H11:I11"/>
    <mergeCell ref="J11:K11"/>
    <mergeCell ref="L11:M11"/>
    <mergeCell ref="N11:O11"/>
    <mergeCell ref="P11:Q11"/>
    <mergeCell ref="R11:S11"/>
    <mergeCell ref="T11:U11"/>
    <mergeCell ref="V11:W11"/>
    <mergeCell ref="X11:Y11"/>
    <mergeCell ref="Z11:AA11"/>
    <mergeCell ref="B10:C10"/>
    <mergeCell ref="D10:E10"/>
    <mergeCell ref="F10:G10"/>
    <mergeCell ref="H10:I10"/>
    <mergeCell ref="N16:O16"/>
    <mergeCell ref="P16:Q16"/>
    <mergeCell ref="R16:S16"/>
    <mergeCell ref="V14:W14"/>
    <mergeCell ref="X14:Y14"/>
    <mergeCell ref="Z14:AA14"/>
    <mergeCell ref="B15:C15"/>
    <mergeCell ref="D15:E15"/>
    <mergeCell ref="F15:G15"/>
    <mergeCell ref="H15:I15"/>
    <mergeCell ref="J15:K15"/>
    <mergeCell ref="L15:M15"/>
    <mergeCell ref="N15:O15"/>
    <mergeCell ref="P15:Q15"/>
    <mergeCell ref="R15:S15"/>
    <mergeCell ref="T15:U15"/>
    <mergeCell ref="V15:W15"/>
    <mergeCell ref="X15:Y15"/>
    <mergeCell ref="Z15:AA15"/>
    <mergeCell ref="B14:C14"/>
    <mergeCell ref="D14:E14"/>
    <mergeCell ref="F14:G14"/>
    <mergeCell ref="H14:I14"/>
    <mergeCell ref="J14:K14"/>
    <mergeCell ref="Z18:AA18"/>
    <mergeCell ref="X18:Y18"/>
    <mergeCell ref="V16:W16"/>
    <mergeCell ref="X16:Y16"/>
    <mergeCell ref="Z16:AA16"/>
    <mergeCell ref="B17:C17"/>
    <mergeCell ref="D17:E17"/>
    <mergeCell ref="F17:G17"/>
    <mergeCell ref="H17:I17"/>
    <mergeCell ref="J17:K17"/>
    <mergeCell ref="L17:M17"/>
    <mergeCell ref="N17:O17"/>
    <mergeCell ref="P17:Q17"/>
    <mergeCell ref="R17:S17"/>
    <mergeCell ref="T17:U17"/>
    <mergeCell ref="V17:W17"/>
    <mergeCell ref="X17:Y17"/>
    <mergeCell ref="Z17:AA17"/>
    <mergeCell ref="B16:C16"/>
    <mergeCell ref="D16:E16"/>
    <mergeCell ref="F16:G16"/>
    <mergeCell ref="H16:I16"/>
    <mergeCell ref="J16:K16"/>
    <mergeCell ref="L16:M16"/>
    <mergeCell ref="R18:S18"/>
    <mergeCell ref="T18:U18"/>
    <mergeCell ref="V18:W18"/>
    <mergeCell ref="B18:C18"/>
    <mergeCell ref="D18:E18"/>
    <mergeCell ref="F18:G18"/>
    <mergeCell ref="H18:I18"/>
    <mergeCell ref="J18:K18"/>
    <mergeCell ref="L18:M18"/>
    <mergeCell ref="N18:O18"/>
    <mergeCell ref="P18:Q18"/>
    <mergeCell ref="X19:Y19"/>
    <mergeCell ref="Z19:AA19"/>
    <mergeCell ref="B20:U20"/>
    <mergeCell ref="V20:W20"/>
    <mergeCell ref="X20:Y20"/>
    <mergeCell ref="Z20:AA20"/>
    <mergeCell ref="L19:M19"/>
    <mergeCell ref="N19:O19"/>
    <mergeCell ref="P19:Q19"/>
    <mergeCell ref="R19:S19"/>
    <mergeCell ref="B19:C19"/>
    <mergeCell ref="D19:E19"/>
    <mergeCell ref="F19:G19"/>
    <mergeCell ref="H19:I19"/>
    <mergeCell ref="J19:K19"/>
    <mergeCell ref="T19:U19"/>
    <mergeCell ref="V19:W19"/>
    <mergeCell ref="AN21:AO21"/>
    <mergeCell ref="N23:Q23"/>
    <mergeCell ref="R23:S24"/>
    <mergeCell ref="T23:U24"/>
    <mergeCell ref="V23:W24"/>
    <mergeCell ref="X23:Y24"/>
    <mergeCell ref="Z23:AA24"/>
    <mergeCell ref="AN23:AO23"/>
    <mergeCell ref="N24:O24"/>
    <mergeCell ref="P24:Q24"/>
    <mergeCell ref="V25:W25"/>
    <mergeCell ref="X25:Y25"/>
    <mergeCell ref="Z25:AA25"/>
    <mergeCell ref="N27:O27"/>
    <mergeCell ref="P27:Q27"/>
    <mergeCell ref="R27:S27"/>
    <mergeCell ref="T27:U27"/>
    <mergeCell ref="V27:W27"/>
    <mergeCell ref="X27:Y27"/>
    <mergeCell ref="Z27:AA27"/>
    <mergeCell ref="V26:W26"/>
    <mergeCell ref="X26:Y26"/>
    <mergeCell ref="Z26:AA26"/>
    <mergeCell ref="V28:W28"/>
    <mergeCell ref="X28:Y28"/>
    <mergeCell ref="Z28:AA28"/>
    <mergeCell ref="L31:M32"/>
    <mergeCell ref="N31:O32"/>
    <mergeCell ref="P31:Q32"/>
    <mergeCell ref="R31:S32"/>
    <mergeCell ref="T31:U32"/>
    <mergeCell ref="L33:M33"/>
    <mergeCell ref="N33:O33"/>
    <mergeCell ref="P33:Q33"/>
    <mergeCell ref="R33:S33"/>
    <mergeCell ref="T33:U33"/>
    <mergeCell ref="V33:W33"/>
    <mergeCell ref="X36:Y36"/>
    <mergeCell ref="Z36:AA36"/>
    <mergeCell ref="V31:W32"/>
    <mergeCell ref="X31:Y32"/>
    <mergeCell ref="Z31:AA32"/>
    <mergeCell ref="X33:Y33"/>
    <mergeCell ref="R37:S37"/>
    <mergeCell ref="T37:U37"/>
    <mergeCell ref="V37:W37"/>
    <mergeCell ref="Z33:AA33"/>
    <mergeCell ref="R36:S36"/>
    <mergeCell ref="T36:U36"/>
    <mergeCell ref="V36:W36"/>
    <mergeCell ref="X37:Y37"/>
    <mergeCell ref="Z37:AA37"/>
    <mergeCell ref="X34:Y34"/>
    <mergeCell ref="X35:Y35"/>
    <mergeCell ref="Z34:AA34"/>
    <mergeCell ref="Z35:AA35"/>
    <mergeCell ref="V38:W38"/>
    <mergeCell ref="X38:Y38"/>
    <mergeCell ref="Z38:AA38"/>
    <mergeCell ref="L37:M37"/>
    <mergeCell ref="N37:O37"/>
    <mergeCell ref="P37:Q37"/>
    <mergeCell ref="J37:K37"/>
    <mergeCell ref="D44:J44"/>
    <mergeCell ref="W44:Y44"/>
    <mergeCell ref="B41:C44"/>
    <mergeCell ref="D41:J41"/>
    <mergeCell ref="L41:N41"/>
    <mergeCell ref="Q41:R41"/>
    <mergeCell ref="U41:V41"/>
    <mergeCell ref="Y41:Z41"/>
    <mergeCell ref="D42:J42"/>
    <mergeCell ref="W42:Y42"/>
    <mergeCell ref="D43:J43"/>
    <mergeCell ref="W43:Y43"/>
  </mergeCells>
  <phoneticPr fontId="2"/>
  <conditionalFormatting sqref="V20:W20">
    <cfRule type="expression" dxfId="75" priority="52" stopIfTrue="1">
      <formula>$V$20=0</formula>
    </cfRule>
  </conditionalFormatting>
  <conditionalFormatting sqref="X20:Y20">
    <cfRule type="expression" dxfId="74" priority="51" stopIfTrue="1">
      <formula>$X$20=0</formula>
    </cfRule>
  </conditionalFormatting>
  <conditionalFormatting sqref="Z20:AA20">
    <cfRule type="expression" dxfId="73" priority="50" stopIfTrue="1">
      <formula>$Z$20=0</formula>
    </cfRule>
  </conditionalFormatting>
  <conditionalFormatting sqref="V28:W28">
    <cfRule type="expression" dxfId="72" priority="49" stopIfTrue="1">
      <formula>$V$28:$W$28=0</formula>
    </cfRule>
  </conditionalFormatting>
  <conditionalFormatting sqref="V38:W38">
    <cfRule type="expression" dxfId="71" priority="48" stopIfTrue="1">
      <formula>$V$38:$W$38=0</formula>
    </cfRule>
  </conditionalFormatting>
  <conditionalFormatting sqref="Y41:Z41">
    <cfRule type="expression" dxfId="70" priority="47" stopIfTrue="1">
      <formula>$Y$41=0</formula>
    </cfRule>
  </conditionalFormatting>
  <conditionalFormatting sqref="Q41:R41">
    <cfRule type="expression" dxfId="69" priority="46" stopIfTrue="1">
      <formula>$Q$41=0</formula>
    </cfRule>
  </conditionalFormatting>
  <conditionalFormatting sqref="U41:V41">
    <cfRule type="expression" dxfId="68" priority="45" stopIfTrue="1">
      <formula>$U$41=0</formula>
    </cfRule>
  </conditionalFormatting>
  <conditionalFormatting sqref="L41:N41">
    <cfRule type="expression" dxfId="67" priority="44" stopIfTrue="1">
      <formula>$L$41=0</formula>
    </cfRule>
  </conditionalFormatting>
  <conditionalFormatting sqref="X8:Y8">
    <cfRule type="expression" dxfId="66" priority="42" stopIfTrue="1">
      <formula>#VALUE!</formula>
    </cfRule>
    <cfRule type="expression" dxfId="65" priority="43" stopIfTrue="1">
      <formula>#VALUE!</formula>
    </cfRule>
  </conditionalFormatting>
  <conditionalFormatting sqref="X19:Y19">
    <cfRule type="expression" dxfId="64" priority="41" stopIfTrue="1">
      <formula>#VALUE!</formula>
    </cfRule>
  </conditionalFormatting>
  <conditionalFormatting sqref="X8:Y8">
    <cfRule type="expression" dxfId="63" priority="29" stopIfTrue="1">
      <formula>#VALUE!</formula>
    </cfRule>
    <cfRule type="expression" dxfId="62" priority="30" stopIfTrue="1">
      <formula>#VALUE!</formula>
    </cfRule>
  </conditionalFormatting>
  <conditionalFormatting sqref="X19:Y19">
    <cfRule type="expression" dxfId="61" priority="28" stopIfTrue="1">
      <formula>#VALUE!</formula>
    </cfRule>
  </conditionalFormatting>
  <conditionalFormatting sqref="X28:Y28">
    <cfRule type="expression" dxfId="60" priority="27" stopIfTrue="1">
      <formula>$X$28:$Y$28=0</formula>
    </cfRule>
  </conditionalFormatting>
  <conditionalFormatting sqref="Z28:AA28">
    <cfRule type="expression" dxfId="59" priority="26" stopIfTrue="1">
      <formula>$Z$28:$AA$28=0</formula>
    </cfRule>
  </conditionalFormatting>
  <conditionalFormatting sqref="X38:Y38">
    <cfRule type="expression" dxfId="58" priority="25" stopIfTrue="1">
      <formula>$X$38:$Y$38=0</formula>
    </cfRule>
  </conditionalFormatting>
  <conditionalFormatting sqref="Z38:AA38">
    <cfRule type="expression" dxfId="57" priority="24" stopIfTrue="1">
      <formula>$Z$38:$AA$38=0</formula>
    </cfRule>
  </conditionalFormatting>
  <conditionalFormatting sqref="P8:U8">
    <cfRule type="expression" dxfId="56" priority="13" stopIfTrue="1">
      <formula>$AG$8=TRUE</formula>
    </cfRule>
  </conditionalFormatting>
  <conditionalFormatting sqref="P15:U15">
    <cfRule type="expression" dxfId="55" priority="12" stopIfTrue="1">
      <formula>$AG$15=TRUE</formula>
    </cfRule>
  </conditionalFormatting>
  <conditionalFormatting sqref="P16:U16">
    <cfRule type="expression" dxfId="54" priority="11" stopIfTrue="1">
      <formula>$AG$16=TRUE</formula>
    </cfRule>
  </conditionalFormatting>
  <conditionalFormatting sqref="P17:U17">
    <cfRule type="expression" dxfId="53" priority="10" stopIfTrue="1">
      <formula>$AG$17=TRUE</formula>
    </cfRule>
  </conditionalFormatting>
  <conditionalFormatting sqref="P18:U18">
    <cfRule type="expression" dxfId="52" priority="9" stopIfTrue="1">
      <formula>$AG$18=TRUE</formula>
    </cfRule>
  </conditionalFormatting>
  <conditionalFormatting sqref="P19:U19">
    <cfRule type="expression" dxfId="51" priority="8" stopIfTrue="1">
      <formula>$AG$19=TRUE</formula>
    </cfRule>
  </conditionalFormatting>
  <conditionalFormatting sqref="P10:U10">
    <cfRule type="expression" dxfId="50" priority="7" stopIfTrue="1">
      <formula>$AG$10=TRUE</formula>
    </cfRule>
  </conditionalFormatting>
  <conditionalFormatting sqref="P14:U14">
    <cfRule type="expression" dxfId="49" priority="5" stopIfTrue="1">
      <formula>$AG$14=TRUE</formula>
    </cfRule>
  </conditionalFormatting>
  <conditionalFormatting sqref="P9:U9">
    <cfRule type="expression" dxfId="48" priority="4" stopIfTrue="1">
      <formula>$AG$9=TRUE</formula>
    </cfRule>
  </conditionalFormatting>
  <conditionalFormatting sqref="P12:U12">
    <cfRule type="expression" dxfId="47" priority="3">
      <formula>$AG$12=TRUE</formula>
    </cfRule>
  </conditionalFormatting>
  <conditionalFormatting sqref="P13:U13">
    <cfRule type="expression" dxfId="46" priority="2">
      <formula>$AG$13=TRUE</formula>
    </cfRule>
  </conditionalFormatting>
  <conditionalFormatting sqref="P11:U11">
    <cfRule type="expression" dxfId="45" priority="1">
      <formula>$AG$11=TRUE</formula>
    </cfRule>
  </conditionalFormatting>
  <dataValidations count="1">
    <dataValidation type="list" allowBlank="1" showInputMessage="1" showErrorMessage="1" sqref="M8:M11 L8:L19 M14:M19 T25:T27 U25 U27">
      <formula1>"　,雨戸,ｼｬｯﾀｰ,障子,風除室"</formula1>
    </dataValidation>
  </dataValidations>
  <printOptions horizontalCentered="1"/>
  <pageMargins left="0.59055118110236227" right="0.39370078740157483" top="0.78740157480314965" bottom="0.55118110236220474" header="0.31496062992125984" footer="0.15748031496062992"/>
  <pageSetup paperSize="9" scale="87" orientation="portrait" horizontalDpi="300" verticalDpi="300" r:id="rId1"/>
  <headerFooter>
    <oddHeader>&amp;Rver. 1.8[H28]</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13</xdr:col>
                    <xdr:colOff>190500</xdr:colOff>
                    <xdr:row>7</xdr:row>
                    <xdr:rowOff>45720</xdr:rowOff>
                  </from>
                  <to>
                    <xdr:col>14</xdr:col>
                    <xdr:colOff>198120</xdr:colOff>
                    <xdr:row>7</xdr:row>
                    <xdr:rowOff>259080</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13</xdr:col>
                    <xdr:colOff>190500</xdr:colOff>
                    <xdr:row>8</xdr:row>
                    <xdr:rowOff>45720</xdr:rowOff>
                  </from>
                  <to>
                    <xdr:col>14</xdr:col>
                    <xdr:colOff>198120</xdr:colOff>
                    <xdr:row>8</xdr:row>
                    <xdr:rowOff>259080</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13</xdr:col>
                    <xdr:colOff>190500</xdr:colOff>
                    <xdr:row>14</xdr:row>
                    <xdr:rowOff>45720</xdr:rowOff>
                  </from>
                  <to>
                    <xdr:col>14</xdr:col>
                    <xdr:colOff>198120</xdr:colOff>
                    <xdr:row>14</xdr:row>
                    <xdr:rowOff>259080</xdr:rowOff>
                  </to>
                </anchor>
              </controlPr>
            </control>
          </mc:Choice>
        </mc:AlternateContent>
        <mc:AlternateContent xmlns:mc="http://schemas.openxmlformats.org/markup-compatibility/2006">
          <mc:Choice Requires="x14">
            <control shapeId="103428" r:id="rId7" name="Check Box 4">
              <controlPr defaultSize="0" autoFill="0" autoLine="0" autoPict="0">
                <anchor moveWithCells="1">
                  <from>
                    <xdr:col>13</xdr:col>
                    <xdr:colOff>190500</xdr:colOff>
                    <xdr:row>15</xdr:row>
                    <xdr:rowOff>45720</xdr:rowOff>
                  </from>
                  <to>
                    <xdr:col>14</xdr:col>
                    <xdr:colOff>198120</xdr:colOff>
                    <xdr:row>15</xdr:row>
                    <xdr:rowOff>259080</xdr:rowOff>
                  </to>
                </anchor>
              </controlPr>
            </control>
          </mc:Choice>
        </mc:AlternateContent>
        <mc:AlternateContent xmlns:mc="http://schemas.openxmlformats.org/markup-compatibility/2006">
          <mc:Choice Requires="x14">
            <control shapeId="103429" r:id="rId8" name="Check Box 5">
              <controlPr defaultSize="0" autoFill="0" autoLine="0" autoPict="0">
                <anchor moveWithCells="1">
                  <from>
                    <xdr:col>13</xdr:col>
                    <xdr:colOff>190500</xdr:colOff>
                    <xdr:row>16</xdr:row>
                    <xdr:rowOff>45720</xdr:rowOff>
                  </from>
                  <to>
                    <xdr:col>14</xdr:col>
                    <xdr:colOff>198120</xdr:colOff>
                    <xdr:row>16</xdr:row>
                    <xdr:rowOff>259080</xdr:rowOff>
                  </to>
                </anchor>
              </controlPr>
            </control>
          </mc:Choice>
        </mc:AlternateContent>
        <mc:AlternateContent xmlns:mc="http://schemas.openxmlformats.org/markup-compatibility/2006">
          <mc:Choice Requires="x14">
            <control shapeId="103430" r:id="rId9" name="Check Box 6">
              <controlPr defaultSize="0" autoFill="0" autoLine="0" autoPict="0">
                <anchor moveWithCells="1">
                  <from>
                    <xdr:col>13</xdr:col>
                    <xdr:colOff>190500</xdr:colOff>
                    <xdr:row>17</xdr:row>
                    <xdr:rowOff>45720</xdr:rowOff>
                  </from>
                  <to>
                    <xdr:col>14</xdr:col>
                    <xdr:colOff>198120</xdr:colOff>
                    <xdr:row>17</xdr:row>
                    <xdr:rowOff>259080</xdr:rowOff>
                  </to>
                </anchor>
              </controlPr>
            </control>
          </mc:Choice>
        </mc:AlternateContent>
        <mc:AlternateContent xmlns:mc="http://schemas.openxmlformats.org/markup-compatibility/2006">
          <mc:Choice Requires="x14">
            <control shapeId="103431" r:id="rId10" name="Check Box 7">
              <controlPr defaultSize="0" autoFill="0" autoLine="0" autoPict="0">
                <anchor moveWithCells="1">
                  <from>
                    <xdr:col>13</xdr:col>
                    <xdr:colOff>190500</xdr:colOff>
                    <xdr:row>18</xdr:row>
                    <xdr:rowOff>45720</xdr:rowOff>
                  </from>
                  <to>
                    <xdr:col>14</xdr:col>
                    <xdr:colOff>198120</xdr:colOff>
                    <xdr:row>18</xdr:row>
                    <xdr:rowOff>259080</xdr:rowOff>
                  </to>
                </anchor>
              </controlPr>
            </control>
          </mc:Choice>
        </mc:AlternateContent>
        <mc:AlternateContent xmlns:mc="http://schemas.openxmlformats.org/markup-compatibility/2006">
          <mc:Choice Requires="x14">
            <control shapeId="103432" r:id="rId11" name="Check Box 8">
              <controlPr defaultSize="0" autoFill="0" autoLine="0" autoPict="0">
                <anchor moveWithCells="1">
                  <from>
                    <xdr:col>13</xdr:col>
                    <xdr:colOff>190500</xdr:colOff>
                    <xdr:row>9</xdr:row>
                    <xdr:rowOff>45720</xdr:rowOff>
                  </from>
                  <to>
                    <xdr:col>14</xdr:col>
                    <xdr:colOff>198120</xdr:colOff>
                    <xdr:row>9</xdr:row>
                    <xdr:rowOff>259080</xdr:rowOff>
                  </to>
                </anchor>
              </controlPr>
            </control>
          </mc:Choice>
        </mc:AlternateContent>
        <mc:AlternateContent xmlns:mc="http://schemas.openxmlformats.org/markup-compatibility/2006">
          <mc:Choice Requires="x14">
            <control shapeId="103433" r:id="rId12" name="Check Box 9">
              <controlPr defaultSize="0" autoFill="0" autoLine="0" autoPict="0">
                <anchor moveWithCells="1">
                  <from>
                    <xdr:col>13</xdr:col>
                    <xdr:colOff>190500</xdr:colOff>
                    <xdr:row>10</xdr:row>
                    <xdr:rowOff>45720</xdr:rowOff>
                  </from>
                  <to>
                    <xdr:col>14</xdr:col>
                    <xdr:colOff>198120</xdr:colOff>
                    <xdr:row>10</xdr:row>
                    <xdr:rowOff>259080</xdr:rowOff>
                  </to>
                </anchor>
              </controlPr>
            </control>
          </mc:Choice>
        </mc:AlternateContent>
        <mc:AlternateContent xmlns:mc="http://schemas.openxmlformats.org/markup-compatibility/2006">
          <mc:Choice Requires="x14">
            <control shapeId="103434" r:id="rId13" name="Check Box 10">
              <controlPr defaultSize="0" autoFill="0" autoLine="0" autoPict="0">
                <anchor moveWithCells="1">
                  <from>
                    <xdr:col>13</xdr:col>
                    <xdr:colOff>190500</xdr:colOff>
                    <xdr:row>13</xdr:row>
                    <xdr:rowOff>45720</xdr:rowOff>
                  </from>
                  <to>
                    <xdr:col>14</xdr:col>
                    <xdr:colOff>198120</xdr:colOff>
                    <xdr:row>13</xdr:row>
                    <xdr:rowOff>259080</xdr:rowOff>
                  </to>
                </anchor>
              </controlPr>
            </control>
          </mc:Choice>
        </mc:AlternateContent>
        <mc:AlternateContent xmlns:mc="http://schemas.openxmlformats.org/markup-compatibility/2006">
          <mc:Choice Requires="x14">
            <control shapeId="103446" r:id="rId14" name="Check Box 22">
              <controlPr defaultSize="0" autoFill="0" autoLine="0" autoPict="0">
                <anchor moveWithCells="1">
                  <from>
                    <xdr:col>19</xdr:col>
                    <xdr:colOff>190500</xdr:colOff>
                    <xdr:row>32</xdr:row>
                    <xdr:rowOff>45720</xdr:rowOff>
                  </from>
                  <to>
                    <xdr:col>20</xdr:col>
                    <xdr:colOff>198120</xdr:colOff>
                    <xdr:row>32</xdr:row>
                    <xdr:rowOff>259080</xdr:rowOff>
                  </to>
                </anchor>
              </controlPr>
            </control>
          </mc:Choice>
        </mc:AlternateContent>
        <mc:AlternateContent xmlns:mc="http://schemas.openxmlformats.org/markup-compatibility/2006">
          <mc:Choice Requires="x14">
            <control shapeId="103447" r:id="rId15" name="Check Box 23">
              <controlPr defaultSize="0" autoFill="0" autoLine="0" autoPict="0">
                <anchor moveWithCells="1">
                  <from>
                    <xdr:col>19</xdr:col>
                    <xdr:colOff>190500</xdr:colOff>
                    <xdr:row>35</xdr:row>
                    <xdr:rowOff>45720</xdr:rowOff>
                  </from>
                  <to>
                    <xdr:col>20</xdr:col>
                    <xdr:colOff>198120</xdr:colOff>
                    <xdr:row>35</xdr:row>
                    <xdr:rowOff>259080</xdr:rowOff>
                  </to>
                </anchor>
              </controlPr>
            </control>
          </mc:Choice>
        </mc:AlternateContent>
        <mc:AlternateContent xmlns:mc="http://schemas.openxmlformats.org/markup-compatibility/2006">
          <mc:Choice Requires="x14">
            <control shapeId="103448" r:id="rId16" name="Check Box 24">
              <controlPr defaultSize="0" autoFill="0" autoLine="0" autoPict="0">
                <anchor moveWithCells="1">
                  <from>
                    <xdr:col>19</xdr:col>
                    <xdr:colOff>190500</xdr:colOff>
                    <xdr:row>36</xdr:row>
                    <xdr:rowOff>45720</xdr:rowOff>
                  </from>
                  <to>
                    <xdr:col>20</xdr:col>
                    <xdr:colOff>198120</xdr:colOff>
                    <xdr:row>36</xdr:row>
                    <xdr:rowOff>259080</xdr:rowOff>
                  </to>
                </anchor>
              </controlPr>
            </control>
          </mc:Choice>
        </mc:AlternateContent>
        <mc:AlternateContent xmlns:mc="http://schemas.openxmlformats.org/markup-compatibility/2006">
          <mc:Choice Requires="x14">
            <control shapeId="103457" r:id="rId17" name="Check Box 33">
              <controlPr defaultSize="0" autoFill="0" autoLine="0" autoPict="0">
                <anchor moveWithCells="1">
                  <from>
                    <xdr:col>13</xdr:col>
                    <xdr:colOff>190500</xdr:colOff>
                    <xdr:row>11</xdr:row>
                    <xdr:rowOff>45720</xdr:rowOff>
                  </from>
                  <to>
                    <xdr:col>14</xdr:col>
                    <xdr:colOff>198120</xdr:colOff>
                    <xdr:row>11</xdr:row>
                    <xdr:rowOff>259080</xdr:rowOff>
                  </to>
                </anchor>
              </controlPr>
            </control>
          </mc:Choice>
        </mc:AlternateContent>
        <mc:AlternateContent xmlns:mc="http://schemas.openxmlformats.org/markup-compatibility/2006">
          <mc:Choice Requires="x14">
            <control shapeId="103458" r:id="rId18" name="Check Box 34">
              <controlPr defaultSize="0" autoFill="0" autoLine="0" autoPict="0">
                <anchor moveWithCells="1">
                  <from>
                    <xdr:col>13</xdr:col>
                    <xdr:colOff>190500</xdr:colOff>
                    <xdr:row>12</xdr:row>
                    <xdr:rowOff>45720</xdr:rowOff>
                  </from>
                  <to>
                    <xdr:col>14</xdr:col>
                    <xdr:colOff>198120</xdr:colOff>
                    <xdr:row>12</xdr:row>
                    <xdr:rowOff>259080</xdr:rowOff>
                  </to>
                </anchor>
              </controlPr>
            </control>
          </mc:Choice>
        </mc:AlternateContent>
        <mc:AlternateContent xmlns:mc="http://schemas.openxmlformats.org/markup-compatibility/2006">
          <mc:Choice Requires="x14">
            <control shapeId="103459" r:id="rId19" name="Check Box 35">
              <controlPr defaultSize="0" autoFill="0" autoLine="0" autoPict="0">
                <anchor moveWithCells="1">
                  <from>
                    <xdr:col>19</xdr:col>
                    <xdr:colOff>190500</xdr:colOff>
                    <xdr:row>33</xdr:row>
                    <xdr:rowOff>45720</xdr:rowOff>
                  </from>
                  <to>
                    <xdr:col>20</xdr:col>
                    <xdr:colOff>198120</xdr:colOff>
                    <xdr:row>33</xdr:row>
                    <xdr:rowOff>259080</xdr:rowOff>
                  </to>
                </anchor>
              </controlPr>
            </control>
          </mc:Choice>
        </mc:AlternateContent>
        <mc:AlternateContent xmlns:mc="http://schemas.openxmlformats.org/markup-compatibility/2006">
          <mc:Choice Requires="x14">
            <control shapeId="103460" r:id="rId20" name="Check Box 36">
              <controlPr defaultSize="0" autoFill="0" autoLine="0" autoPict="0">
                <anchor moveWithCells="1">
                  <from>
                    <xdr:col>19</xdr:col>
                    <xdr:colOff>190500</xdr:colOff>
                    <xdr:row>34</xdr:row>
                    <xdr:rowOff>45720</xdr:rowOff>
                  </from>
                  <to>
                    <xdr:col>20</xdr:col>
                    <xdr:colOff>198120</xdr:colOff>
                    <xdr:row>34</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はじめに（お読みください）</vt:lpstr>
      <vt:lpstr>共通条件・結果</vt:lpstr>
      <vt:lpstr>Ａ（北）</vt:lpstr>
      <vt:lpstr>Ａ（北東）</vt:lpstr>
      <vt:lpstr>Ａ（東）</vt:lpstr>
      <vt:lpstr>Ａ（南東）</vt:lpstr>
      <vt:lpstr>Ａ（南）</vt:lpstr>
      <vt:lpstr>Ａ（南西）</vt:lpstr>
      <vt:lpstr>Ａ（西）</vt:lpstr>
      <vt:lpstr>Ａ（北西）</vt:lpstr>
      <vt:lpstr>Ｂ（屋根・床等）</vt:lpstr>
      <vt:lpstr>Ｃ（基礎）</vt:lpstr>
      <vt:lpstr>更新履歴</vt:lpstr>
      <vt:lpstr>'Ａ（西）'!Print_Area</vt:lpstr>
      <vt:lpstr>'Ａ（東）'!Print_Area</vt:lpstr>
      <vt:lpstr>'Ａ（南）'!Print_Area</vt:lpstr>
      <vt:lpstr>'Ａ（南西）'!Print_Area</vt:lpstr>
      <vt:lpstr>'Ａ（南東）'!Print_Area</vt:lpstr>
      <vt:lpstr>'Ａ（北）'!Print_Area</vt:lpstr>
      <vt:lpstr>'Ａ（北西）'!Print_Area</vt:lpstr>
      <vt:lpstr>'Ａ（北東）'!Print_Area</vt:lpstr>
      <vt:lpstr>'Ｂ（屋根・床等）'!Print_Area</vt:lpstr>
      <vt:lpstr>'Ｃ（基礎）'!Print_Area</vt:lpstr>
      <vt:lpstr>'はじめに（お読みください）'!Print_Area</vt:lpstr>
      <vt:lpstr>共通条件・結果!Print_Area</vt:lpstr>
      <vt:lpstr>更新履歴!Print_Area</vt:lpstr>
    </vt:vector>
  </TitlesOfParts>
  <Company>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hokkaido</cp:lastModifiedBy>
  <cp:lastPrinted>2021-02-26T04:14:18Z</cp:lastPrinted>
  <dcterms:created xsi:type="dcterms:W3CDTF">2001-06-12T05:58:42Z</dcterms:created>
  <dcterms:modified xsi:type="dcterms:W3CDTF">2021-02-26T04:15:21Z</dcterms:modified>
</cp:coreProperties>
</file>